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4" activeTab="2"/>
  </bookViews>
  <sheets>
    <sheet name="тек. содерж." sheetId="1" r:id="rId1"/>
    <sheet name="тек. ремонт" sheetId="2" r:id="rId2"/>
    <sheet name="с 01.01.2017 г." sheetId="3" r:id="rId3"/>
  </sheets>
  <definedNames/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AL225" authorId="0">
      <text>
        <r>
          <rPr>
            <sz val="8"/>
            <rFont val="Tahoma"/>
            <family val="0"/>
          </rPr>
          <t xml:space="preserve">завоз грунта
</t>
        </r>
      </text>
    </comment>
    <comment ref="AN227" authorId="0">
      <text>
        <r>
          <rPr>
            <b/>
            <sz val="8"/>
            <rFont val="Tahoma"/>
            <family val="0"/>
          </rPr>
          <t>устройство автомобильной стоянки</t>
        </r>
      </text>
    </comment>
    <comment ref="G231" authorId="0">
      <text>
        <r>
          <rPr>
            <b/>
            <sz val="8"/>
            <rFont val="Tahoma"/>
            <family val="0"/>
          </rPr>
          <t>в т.ч. замена водосточных труб</t>
        </r>
      </text>
    </comment>
    <comment ref="G232" authorId="0">
      <text>
        <r>
          <rPr>
            <b/>
            <sz val="8"/>
            <rFont val="Tahoma"/>
            <family val="0"/>
          </rPr>
          <t>в т.ч. замена водосточных труб</t>
        </r>
      </text>
    </comment>
    <comment ref="G233" authorId="0">
      <text>
        <r>
          <rPr>
            <b/>
            <sz val="8"/>
            <rFont val="Tahoma"/>
            <family val="0"/>
          </rPr>
          <t>в т.ч. замена водосточных труб</t>
        </r>
      </text>
    </comment>
    <comment ref="G234" authorId="0">
      <text>
        <r>
          <rPr>
            <b/>
            <sz val="8"/>
            <rFont val="Tahoma"/>
            <family val="0"/>
          </rPr>
          <t>в т.ч. замена водосточных труб</t>
        </r>
      </text>
    </comment>
    <comment ref="AL223" authorId="0">
      <text>
        <r>
          <rPr>
            <b/>
            <sz val="8"/>
            <rFont val="Tahoma"/>
            <family val="0"/>
          </rPr>
          <t>устройство забора</t>
        </r>
      </text>
    </comment>
    <comment ref="AL215" authorId="0">
      <text>
        <r>
          <rPr>
            <b/>
            <sz val="8"/>
            <rFont val="Tahoma"/>
            <family val="0"/>
          </rPr>
          <t>устройство автомобильной стоянки</t>
        </r>
      </text>
    </comment>
    <comment ref="AL216" authorId="0">
      <text>
        <r>
          <rPr>
            <b/>
            <sz val="8"/>
            <rFont val="Tahoma"/>
            <family val="0"/>
          </rPr>
          <t>устройство автомобильной стоянки</t>
        </r>
      </text>
    </comment>
    <comment ref="AL203" authorId="0">
      <text>
        <r>
          <rPr>
            <b/>
            <sz val="8"/>
            <rFont val="Tahoma"/>
            <family val="0"/>
          </rPr>
          <t>изготовление и устанвка скамейки</t>
        </r>
      </text>
    </comment>
  </commentList>
</comments>
</file>

<file path=xl/sharedStrings.xml><?xml version="1.0" encoding="utf-8"?>
<sst xmlns="http://schemas.openxmlformats.org/spreadsheetml/2006/main" count="1360" uniqueCount="309">
  <si>
    <t>за 1 кв м/руб</t>
  </si>
  <si>
    <t>сумма, руб</t>
  </si>
  <si>
    <t>Всего по ЖРЭУ 1</t>
  </si>
  <si>
    <t>Горняков,12</t>
  </si>
  <si>
    <t>Горняков,20</t>
  </si>
  <si>
    <t>З.Валиди,55/1</t>
  </si>
  <si>
    <t>З.Валиди,55/2</t>
  </si>
  <si>
    <t>З.Валиди,57</t>
  </si>
  <si>
    <t>З.Валиди,57/1</t>
  </si>
  <si>
    <t>З.Валиди,57/2</t>
  </si>
  <si>
    <t>З.Валиди,57/3</t>
  </si>
  <si>
    <t>З.Валиди,57/4</t>
  </si>
  <si>
    <t>З.Валиди,61</t>
  </si>
  <si>
    <t>З.Валиди,61/1</t>
  </si>
  <si>
    <t>З.Валиди,61/2</t>
  </si>
  <si>
    <t>Ленина,20</t>
  </si>
  <si>
    <t>Ленина,24</t>
  </si>
  <si>
    <t>Ленина,26</t>
  </si>
  <si>
    <t>Ленина,28</t>
  </si>
  <si>
    <t>Ленина,30</t>
  </si>
  <si>
    <t>Ленина,32</t>
  </si>
  <si>
    <t>Ленина,34</t>
  </si>
  <si>
    <t>Ленина,38</t>
  </si>
  <si>
    <t>Ленина,42</t>
  </si>
  <si>
    <t>Ленина,44</t>
  </si>
  <si>
    <t>Ленина,46</t>
  </si>
  <si>
    <t>Ленина,48</t>
  </si>
  <si>
    <t>Чайковского,2</t>
  </si>
  <si>
    <t>Чайковского,6</t>
  </si>
  <si>
    <t>Всего по ЖРЭУ 2</t>
  </si>
  <si>
    <t>40 лет Окт,56</t>
  </si>
  <si>
    <t>Горняков,22</t>
  </si>
  <si>
    <t>Горняков,23</t>
  </si>
  <si>
    <t>Горняков,24</t>
  </si>
  <si>
    <t>Горняков,25</t>
  </si>
  <si>
    <t>Горняков,26</t>
  </si>
  <si>
    <t>Горняков,27</t>
  </si>
  <si>
    <t>Горняков,29</t>
  </si>
  <si>
    <t>Горняков,31</t>
  </si>
  <si>
    <t>Горняков,32</t>
  </si>
  <si>
    <t>Горняков,33</t>
  </si>
  <si>
    <t>Горняков,34</t>
  </si>
  <si>
    <t>Горняков,36</t>
  </si>
  <si>
    <t>Горького,43</t>
  </si>
  <si>
    <t>Горького,45</t>
  </si>
  <si>
    <t>Горького,47</t>
  </si>
  <si>
    <t>Горького,49</t>
  </si>
  <si>
    <t>Горького,51</t>
  </si>
  <si>
    <t>Горького,53</t>
  </si>
  <si>
    <t>Горького,55</t>
  </si>
  <si>
    <t>Горького,57</t>
  </si>
  <si>
    <t>Горького,59</t>
  </si>
  <si>
    <t>К.Цеткин,6</t>
  </si>
  <si>
    <t>К.Цеткин,8</t>
  </si>
  <si>
    <t>К.Цеткин,12</t>
  </si>
  <si>
    <t>К.Цеткин,14</t>
  </si>
  <si>
    <t>К.Цеткин,14/1</t>
  </si>
  <si>
    <t>К.Цеткин,16</t>
  </si>
  <si>
    <t>К.Цеткин,18</t>
  </si>
  <si>
    <t>Ленина,11</t>
  </si>
  <si>
    <t>Ленина,13</t>
  </si>
  <si>
    <t>Ленина,15</t>
  </si>
  <si>
    <t>Ленина,17</t>
  </si>
  <si>
    <t>Ленина,19</t>
  </si>
  <si>
    <t>Ленина,23</t>
  </si>
  <si>
    <t>Ленина,23/1</t>
  </si>
  <si>
    <t>Ленина,25</t>
  </si>
  <si>
    <t>Ленина,27</t>
  </si>
  <si>
    <t>Всего по ЖРЭУ 3</t>
  </si>
  <si>
    <t>Белова,24</t>
  </si>
  <si>
    <t>Белова,26</t>
  </si>
  <si>
    <t>Белова,28</t>
  </si>
  <si>
    <t>Белова,30</t>
  </si>
  <si>
    <t>Белова,32</t>
  </si>
  <si>
    <t>Белова,34</t>
  </si>
  <si>
    <t>Белова,38</t>
  </si>
  <si>
    <t>Горняков,1</t>
  </si>
  <si>
    <t>Горняков,3</t>
  </si>
  <si>
    <t>Горняков,5</t>
  </si>
  <si>
    <t>З.Валиди,46</t>
  </si>
  <si>
    <t>З.Валиди,46/1</t>
  </si>
  <si>
    <t>З.Валиди,46/2</t>
  </si>
  <si>
    <t>З.Валиди,48</t>
  </si>
  <si>
    <t>З.Валиди,48/1</t>
  </si>
  <si>
    <t>З.Валиди,48/4</t>
  </si>
  <si>
    <t>З.Валиди,50</t>
  </si>
  <si>
    <t>З.Валиди,50/1</t>
  </si>
  <si>
    <t>З.Валиди,52</t>
  </si>
  <si>
    <t>З.Валиди,52/1</t>
  </si>
  <si>
    <t>З.Валиди,52/2</t>
  </si>
  <si>
    <t>Чайковского,8</t>
  </si>
  <si>
    <t>Чайковского,10</t>
  </si>
  <si>
    <t>Чайковского,12</t>
  </si>
  <si>
    <t>Чайковского,14</t>
  </si>
  <si>
    <t>Чайковского,16</t>
  </si>
  <si>
    <t>Чайковского,18</t>
  </si>
  <si>
    <t>Чайковского,20</t>
  </si>
  <si>
    <t>Чайковского,22</t>
  </si>
  <si>
    <t>Всего по ЖРЭУ 4</t>
  </si>
  <si>
    <t>Горняков,9</t>
  </si>
  <si>
    <t>Горняков,11</t>
  </si>
  <si>
    <t>Горняков,21</t>
  </si>
  <si>
    <t>Горького,80</t>
  </si>
  <si>
    <t>Горького,82</t>
  </si>
  <si>
    <t>Горького,84</t>
  </si>
  <si>
    <t>Горького,86</t>
  </si>
  <si>
    <t>Горького,88</t>
  </si>
  <si>
    <t>Горького,90</t>
  </si>
  <si>
    <t>Горького,92</t>
  </si>
  <si>
    <t>Кирова,25</t>
  </si>
  <si>
    <t>Кирова,27</t>
  </si>
  <si>
    <t>Кирова,29</t>
  </si>
  <si>
    <t>Кирова,33</t>
  </si>
  <si>
    <t>Кирова,35</t>
  </si>
  <si>
    <t>Ковалева,19</t>
  </si>
  <si>
    <t>Коммунист,2</t>
  </si>
  <si>
    <t>Коммунист,6</t>
  </si>
  <si>
    <t>Куйбышева,17</t>
  </si>
  <si>
    <t>Ленина,8</t>
  </si>
  <si>
    <t>Ленина,10</t>
  </si>
  <si>
    <t>Ленина,14</t>
  </si>
  <si>
    <t>Ленина,16</t>
  </si>
  <si>
    <t>Ленина,18</t>
  </si>
  <si>
    <t>Матросова,35</t>
  </si>
  <si>
    <t>Матросова,37</t>
  </si>
  <si>
    <t>Матросова,41</t>
  </si>
  <si>
    <t>Матросова,45</t>
  </si>
  <si>
    <t>Пионерская,9</t>
  </si>
  <si>
    <t>Пионерская,17</t>
  </si>
  <si>
    <t>Пионерская,60</t>
  </si>
  <si>
    <t>Булякова,5</t>
  </si>
  <si>
    <t>Булякова,7</t>
  </si>
  <si>
    <t>Булякова,11</t>
  </si>
  <si>
    <t>Булякова,13</t>
  </si>
  <si>
    <t>Булякова,13/1</t>
  </si>
  <si>
    <t>Ветеранов,1</t>
  </si>
  <si>
    <t>Ветеранов,2</t>
  </si>
  <si>
    <t>Ветеранов,3</t>
  </si>
  <si>
    <t>Ветеранов,5</t>
  </si>
  <si>
    <t>Ветеранов,6</t>
  </si>
  <si>
    <t>Ветеранов,7</t>
  </si>
  <si>
    <t>Ветеранов,9</t>
  </si>
  <si>
    <t>Ветеранов,13</t>
  </si>
  <si>
    <t>Инд.шоссе,4</t>
  </si>
  <si>
    <t>Инд.шоссе,6</t>
  </si>
  <si>
    <t>Инд.шоссе,8</t>
  </si>
  <si>
    <t>Инд.шоссе,22</t>
  </si>
  <si>
    <t>Инд.шоссе,24</t>
  </si>
  <si>
    <t>Интер.пер.3</t>
  </si>
  <si>
    <t>Интер.пер 5</t>
  </si>
  <si>
    <t>Кусимова,1</t>
  </si>
  <si>
    <t>Кусимова,3</t>
  </si>
  <si>
    <t>Кусимова,4</t>
  </si>
  <si>
    <t>Кусимова,5</t>
  </si>
  <si>
    <t>Кусимова,6</t>
  </si>
  <si>
    <t>Строителей,2</t>
  </si>
  <si>
    <t>Строителей,4</t>
  </si>
  <si>
    <t>Строителей,4/1</t>
  </si>
  <si>
    <t>Строителей,6</t>
  </si>
  <si>
    <t>Строителей,6/1</t>
  </si>
  <si>
    <t>Строителей,6/2</t>
  </si>
  <si>
    <t>Строителей,8</t>
  </si>
  <si>
    <t>Строителей,8/1</t>
  </si>
  <si>
    <t>Чайковск.,26</t>
  </si>
  <si>
    <t>Чайковск.,28</t>
  </si>
  <si>
    <t>Чайковск.,32</t>
  </si>
  <si>
    <t>Чайковск.,32/1</t>
  </si>
  <si>
    <t>Аккулова,2</t>
  </si>
  <si>
    <t>Белова,2/1</t>
  </si>
  <si>
    <t>Белова,2/2</t>
  </si>
  <si>
    <t>Горняков,7</t>
  </si>
  <si>
    <t>Горняков,37</t>
  </si>
  <si>
    <t>Горняков,38</t>
  </si>
  <si>
    <t>Горняков,39</t>
  </si>
  <si>
    <t>Горняков,40-этаж5</t>
  </si>
  <si>
    <t>Горняков,40 эт.9-2</t>
  </si>
  <si>
    <t>Горняков,41</t>
  </si>
  <si>
    <t>Горняков,42</t>
  </si>
  <si>
    <t>Горняков,43</t>
  </si>
  <si>
    <t>Горняков,47</t>
  </si>
  <si>
    <t>Горняков,48</t>
  </si>
  <si>
    <t>Горняков,49</t>
  </si>
  <si>
    <t>Горняков,50</t>
  </si>
  <si>
    <t>Горняков,51</t>
  </si>
  <si>
    <t>Горняков,55</t>
  </si>
  <si>
    <t>Горького,39</t>
  </si>
  <si>
    <t>Горького,41</t>
  </si>
  <si>
    <t>Куйбышева,28</t>
  </si>
  <si>
    <t>Островского,2/1</t>
  </si>
  <si>
    <t>Островского,10</t>
  </si>
  <si>
    <t>Учалинская,24</t>
  </si>
  <si>
    <t>№</t>
  </si>
  <si>
    <t>Общая площадь МКД, кв.м</t>
  </si>
  <si>
    <t xml:space="preserve">к договору №               от </t>
  </si>
  <si>
    <t xml:space="preserve">Плата за содержание и текущий ремонт общего имущества </t>
  </si>
  <si>
    <t>Механизированная уборка придомовой территории</t>
  </si>
  <si>
    <t>Уборка подъездов</t>
  </si>
  <si>
    <t>Оперативно - диспетчерское обслуживание</t>
  </si>
  <si>
    <t>Ремонт и обслуживание внутридомового газового оборудования</t>
  </si>
  <si>
    <t>Текущее содержание</t>
  </si>
  <si>
    <t>Текущий ремонт</t>
  </si>
  <si>
    <t>Содержание и ремонт лифтов и лифтового хозяйства</t>
  </si>
  <si>
    <t>Обслуживание мусоропроводов</t>
  </si>
  <si>
    <t>Управление многоквартирным домом</t>
  </si>
  <si>
    <t>Итого</t>
  </si>
  <si>
    <t>Коммунистическая,8</t>
  </si>
  <si>
    <t>Коммунистическая,12</t>
  </si>
  <si>
    <t>Достоевского,2\1</t>
  </si>
  <si>
    <t>Горняков,38\1</t>
  </si>
  <si>
    <t>Коммунистическая,15</t>
  </si>
  <si>
    <t>Горняков,6\2</t>
  </si>
  <si>
    <t>Горняков,6\3</t>
  </si>
  <si>
    <t>Горняков,6\6</t>
  </si>
  <si>
    <t>Горняков,6\7</t>
  </si>
  <si>
    <t>Маяковского,26</t>
  </si>
  <si>
    <t>Маяковского,30</t>
  </si>
  <si>
    <t>Маяковского,31</t>
  </si>
  <si>
    <t>Маяковского,33</t>
  </si>
  <si>
    <t>Чайковского,12\1</t>
  </si>
  <si>
    <t>Чайковского,14\1</t>
  </si>
  <si>
    <t>Чайковского,16\1</t>
  </si>
  <si>
    <t>Чайковского,16\2</t>
  </si>
  <si>
    <t>Чайковского,22\1</t>
  </si>
  <si>
    <t>Инд.шоссе,20</t>
  </si>
  <si>
    <t>Белова,18\1</t>
  </si>
  <si>
    <t>Островского,4/1</t>
  </si>
  <si>
    <t>Покос газонов придомовой территории</t>
  </si>
  <si>
    <t>Матросова, 1/2</t>
  </si>
  <si>
    <t>Матросова, 2/1</t>
  </si>
  <si>
    <t>Горняков, 30</t>
  </si>
  <si>
    <t>Горняков, 35</t>
  </si>
  <si>
    <t>Горняков, 57</t>
  </si>
  <si>
    <t>Ленина, 1/1</t>
  </si>
  <si>
    <t>Ленина, 1/2</t>
  </si>
  <si>
    <t>Ленина, 2/2</t>
  </si>
  <si>
    <t>Лермонтова, 42</t>
  </si>
  <si>
    <t>З.Валиди, 48/3</t>
  </si>
  <si>
    <t>Островского, 4/2</t>
  </si>
  <si>
    <t>Белова, 40 3-9 эт</t>
  </si>
  <si>
    <t>Булякова, 3 3-9 эт</t>
  </si>
  <si>
    <t>Булякова, 3- 2 эт</t>
  </si>
  <si>
    <t>Булякова, 9 2 эт</t>
  </si>
  <si>
    <t>Булякова, 9 3-9 эт</t>
  </si>
  <si>
    <t>Булякова, 15 2 эт</t>
  </si>
  <si>
    <t>Булякова, 15 - 3-9 2 эт</t>
  </si>
  <si>
    <t>Дератизация и дезинсекция</t>
  </si>
  <si>
    <t>Услуги исполнителя</t>
  </si>
  <si>
    <t>Услуги по ведению расчетов</t>
  </si>
  <si>
    <t>Маяковского, 15</t>
  </si>
  <si>
    <t>Обслуживание теплообменника</t>
  </si>
  <si>
    <t>Горняков, 8/3</t>
  </si>
  <si>
    <t>Куйбышева, 12/1</t>
  </si>
  <si>
    <t>Горняков,40-эт.9-3-9</t>
  </si>
  <si>
    <t xml:space="preserve"> Матросова,1/1</t>
  </si>
  <si>
    <t>Белова, 40 2 эт</t>
  </si>
  <si>
    <t>Куйбышева, 24</t>
  </si>
  <si>
    <t>вывоз ТБО</t>
  </si>
  <si>
    <t>Адрес</t>
  </si>
  <si>
    <t>Всего</t>
  </si>
  <si>
    <t>ООО "Уралтрейд"</t>
  </si>
  <si>
    <t>ООО "Жилсервис"</t>
  </si>
  <si>
    <t>Плата за текущее содержание</t>
  </si>
  <si>
    <t>Гидравлическое испытание  системы отопления</t>
  </si>
  <si>
    <t>Гидропромывка системы отопления</t>
  </si>
  <si>
    <t>Наладка и ремонт  запорной  арматуры</t>
  </si>
  <si>
    <t>Откачка воды</t>
  </si>
  <si>
    <t>Прочистка канализации</t>
  </si>
  <si>
    <t>Обход и осмотр по квартирам</t>
  </si>
  <si>
    <t>Непредвиденные работы</t>
  </si>
  <si>
    <t>Мелкий ремонт  конструктивных элементов</t>
  </si>
  <si>
    <t>Ремонт внутридомовых электрических сетей</t>
  </si>
  <si>
    <t>Очистка кровли от  снега, сбивание сосулек</t>
  </si>
  <si>
    <t>ОДПУ</t>
  </si>
  <si>
    <t>ИТОГО</t>
  </si>
  <si>
    <t>Горняков,40-эт.9-3по9</t>
  </si>
  <si>
    <t>Белова, 40 - 2 эт</t>
  </si>
  <si>
    <t>Матросова, 1/1</t>
  </si>
  <si>
    <t>Куйбышева,12/1</t>
  </si>
  <si>
    <t>Текущий ремонт инженерных сетей ООО "Уралтрейд"</t>
  </si>
  <si>
    <t>Благоустройство</t>
  </si>
  <si>
    <t>Текущий ремонт "Жилсервис"</t>
  </si>
  <si>
    <t>∑</t>
  </si>
  <si>
    <t>Ремонт кровли</t>
  </si>
  <si>
    <t>Ремонт фасада</t>
  </si>
  <si>
    <t>Ремонт цоколя</t>
  </si>
  <si>
    <t>Ремонт лестничных клеток</t>
  </si>
  <si>
    <t>Замена оконных переплетов</t>
  </si>
  <si>
    <t>Замена  дверных полотен</t>
  </si>
  <si>
    <t>Прочистка вентканалов</t>
  </si>
  <si>
    <t>Отопление</t>
  </si>
  <si>
    <t>ГВС</t>
  </si>
  <si>
    <t>ХВС</t>
  </si>
  <si>
    <t>Водоотведение</t>
  </si>
  <si>
    <t>Мелкий ремонт (забора, бельевых площадок,)</t>
  </si>
  <si>
    <t>Асфальтирование ( отмостки, тротуар)</t>
  </si>
  <si>
    <t>Подсыпка подвальных помещений</t>
  </si>
  <si>
    <t>Формочная обрезка деревьев</t>
  </si>
  <si>
    <t>изготовление техпаспортов</t>
  </si>
  <si>
    <t>Ручная уборка придомовой территории (Бытсервис +экосервис +Полигон )</t>
  </si>
  <si>
    <t>в том числе</t>
  </si>
  <si>
    <t>содержание и обслуживание теплообменника</t>
  </si>
  <si>
    <t>Скрепка с 01.06.2016 г.</t>
  </si>
  <si>
    <t xml:space="preserve">Индустриальн., 16/3 </t>
  </si>
  <si>
    <t>Инд.шоссе,16/3</t>
  </si>
  <si>
    <t>Обслуживание домофона</t>
  </si>
  <si>
    <t xml:space="preserve">Плата за содержание и текущий ремонт общего имущества МКД  с 01.01.17 г. </t>
  </si>
  <si>
    <t xml:space="preserve">Ориентировочная  стоимость работ на содержание и текущий ремонт общего имущества МКД  с 01.01.17 г. </t>
  </si>
  <si>
    <t>Содержание ОДПУ с 01.01.2017 по факту</t>
  </si>
  <si>
    <t>Диагностика газовых сетей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</si>
</sst>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0.00000000"/>
    <numFmt numFmtId="186" formatCode="0.0000000"/>
    <numFmt numFmtId="187" formatCode="_(* #,##0.000_);_(* \(#,##0.000\);_(* &quot;-&quot;??_);_(@_)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00"/>
    <numFmt numFmtId="194" formatCode="0.00000000000"/>
    <numFmt numFmtId="195" formatCode="0.000000000000"/>
  </numFmts>
  <fonts count="42">
    <font>
      <sz val="10"/>
      <name val="Arial"/>
      <family val="0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sz val="8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53" applyFont="1" applyFill="1" applyBorder="1" applyAlignment="1">
      <alignment horizontal="center"/>
      <protection/>
    </xf>
    <xf numFmtId="2" fontId="1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81" fontId="1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181" fontId="11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wrapText="1"/>
    </xf>
    <xf numFmtId="2" fontId="21" fillId="0" borderId="13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5" fillId="0" borderId="14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1" fontId="5" fillId="0" borderId="13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15" fillId="0" borderId="1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181" fontId="21" fillId="0" borderId="10" xfId="0" applyNumberFormat="1" applyFont="1" applyFill="1" applyBorder="1" applyAlignment="1">
      <alignment horizontal="center" wrapText="1"/>
    </xf>
    <xf numFmtId="181" fontId="21" fillId="0" borderId="13" xfId="0" applyNumberFormat="1" applyFont="1" applyFill="1" applyBorder="1" applyAlignment="1">
      <alignment horizontal="center" wrapText="1"/>
    </xf>
    <xf numFmtId="181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2" fontId="5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1" fontId="7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1" fontId="20" fillId="0" borderId="0" xfId="0" applyNumberFormat="1" applyFont="1" applyFill="1" applyAlignment="1">
      <alignment/>
    </xf>
    <xf numFmtId="181" fontId="7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0" fillId="0" borderId="13" xfId="0" applyNumberForma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 wrapText="1"/>
    </xf>
    <xf numFmtId="1" fontId="5" fillId="0" borderId="14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81" fontId="1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181" fontId="0" fillId="0" borderId="0" xfId="0" applyNumberFormat="1" applyFill="1" applyAlignment="1">
      <alignment/>
    </xf>
    <xf numFmtId="0" fontId="4" fillId="0" borderId="13" xfId="0" applyFont="1" applyFill="1" applyBorder="1" applyAlignment="1">
      <alignment horizontal="center" wrapText="1"/>
    </xf>
    <xf numFmtId="181" fontId="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6" fillId="0" borderId="10" xfId="53" applyFont="1" applyFill="1" applyBorder="1" applyAlignment="1">
      <alignment horizontal="center"/>
      <protection/>
    </xf>
    <xf numFmtId="180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2" fontId="5" fillId="0" borderId="10" xfId="42" applyNumberFormat="1" applyFont="1" applyFill="1" applyBorder="1" applyAlignment="1" applyProtection="1">
      <alignment horizontal="center" wrapText="1"/>
      <protection/>
    </xf>
    <xf numFmtId="180" fontId="7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181" fontId="19" fillId="0" borderId="10" xfId="0" applyNumberFormat="1" applyFont="1" applyFill="1" applyBorder="1" applyAlignment="1">
      <alignment horizontal="center"/>
    </xf>
    <xf numFmtId="181" fontId="16" fillId="0" borderId="10" xfId="0" applyNumberFormat="1" applyFont="1" applyFill="1" applyBorder="1" applyAlignment="1">
      <alignment horizontal="center"/>
    </xf>
    <xf numFmtId="180" fontId="16" fillId="0" borderId="10" xfId="0" applyNumberFormat="1" applyFont="1" applyFill="1" applyBorder="1" applyAlignment="1">
      <alignment horizontal="center"/>
    </xf>
    <xf numFmtId="2" fontId="5" fillId="0" borderId="14" xfId="42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1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81" fontId="1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7"/>
  <sheetViews>
    <sheetView zoomScalePageLayoutView="0" workbookViewId="0" topLeftCell="B1">
      <selection activeCell="C2" sqref="C2"/>
    </sheetView>
  </sheetViews>
  <sheetFormatPr defaultColWidth="9.140625" defaultRowHeight="12.75"/>
  <cols>
    <col min="1" max="1" width="8.421875" style="8" bestFit="1" customWidth="1"/>
    <col min="2" max="2" width="3.7109375" style="22" customWidth="1"/>
    <col min="3" max="3" width="18.28125" style="22" customWidth="1"/>
    <col min="4" max="4" width="8.140625" style="22" customWidth="1"/>
    <col min="5" max="5" width="5.28125" style="22" customWidth="1"/>
    <col min="6" max="6" width="6.57421875" style="22" hidden="1" customWidth="1"/>
    <col min="7" max="7" width="0.85546875" style="72" hidden="1" customWidth="1"/>
    <col min="8" max="8" width="6.28125" style="22" customWidth="1"/>
    <col min="9" max="9" width="9.140625" style="72" hidden="1" customWidth="1"/>
    <col min="10" max="10" width="6.421875" style="22" customWidth="1"/>
    <col min="11" max="11" width="9.7109375" style="72" hidden="1" customWidth="1"/>
    <col min="12" max="12" width="6.57421875" style="22" customWidth="1"/>
    <col min="13" max="13" width="9.7109375" style="72" hidden="1" customWidth="1"/>
    <col min="14" max="14" width="6.421875" style="22" customWidth="1"/>
    <col min="15" max="15" width="0.13671875" style="72" customWidth="1"/>
    <col min="16" max="16" width="5.8515625" style="22" customWidth="1"/>
    <col min="17" max="17" width="0.13671875" style="72" customWidth="1"/>
    <col min="18" max="18" width="9.00390625" style="22" customWidth="1"/>
    <col min="19" max="19" width="0.13671875" style="72" customWidth="1"/>
    <col min="20" max="20" width="8.7109375" style="22" customWidth="1"/>
    <col min="21" max="21" width="9.421875" style="72" hidden="1" customWidth="1"/>
    <col min="22" max="22" width="4.57421875" style="72" customWidth="1"/>
    <col min="23" max="23" width="17.00390625" style="72" customWidth="1"/>
    <col min="24" max="24" width="10.28125" style="72" customWidth="1"/>
    <col min="25" max="25" width="8.7109375" style="22" customWidth="1"/>
    <col min="26" max="26" width="0.2890625" style="72" hidden="1" customWidth="1"/>
    <col min="27" max="27" width="8.8515625" style="22" customWidth="1"/>
    <col min="28" max="28" width="10.28125" style="72" hidden="1" customWidth="1"/>
    <col min="29" max="29" width="9.00390625" style="22" customWidth="1"/>
    <col min="30" max="30" width="0.13671875" style="72" customWidth="1"/>
    <col min="31" max="31" width="8.421875" style="22" customWidth="1"/>
    <col min="32" max="32" width="10.421875" style="72" hidden="1" customWidth="1"/>
    <col min="33" max="33" width="9.7109375" style="22" hidden="1" customWidth="1"/>
    <col min="34" max="34" width="8.140625" style="72" hidden="1" customWidth="1"/>
    <col min="35" max="35" width="9.421875" style="8" hidden="1" customWidth="1"/>
    <col min="36" max="36" width="12.8515625" style="8" hidden="1" customWidth="1"/>
    <col min="37" max="16384" width="9.140625" style="8" customWidth="1"/>
  </cols>
  <sheetData>
    <row r="1" spans="3:43" ht="29.25" customHeight="1">
      <c r="C1" s="126" t="s">
        <v>306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04"/>
      <c r="W1" s="126" t="s">
        <v>306</v>
      </c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5:34" ht="12.75"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2:34" s="22" customFormat="1" ht="12" customHeight="1">
      <c r="B3" s="133"/>
      <c r="C3" s="136" t="s">
        <v>257</v>
      </c>
      <c r="D3" s="137" t="s">
        <v>192</v>
      </c>
      <c r="E3" s="141"/>
      <c r="F3" s="140" t="s">
        <v>258</v>
      </c>
      <c r="G3" s="123"/>
      <c r="H3" s="129" t="s">
        <v>259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23"/>
      <c r="V3" s="133"/>
      <c r="W3" s="136" t="s">
        <v>257</v>
      </c>
      <c r="X3" s="137" t="s">
        <v>192</v>
      </c>
      <c r="Y3" s="129" t="s">
        <v>260</v>
      </c>
      <c r="Z3" s="131"/>
      <c r="AA3" s="131"/>
      <c r="AB3" s="131"/>
      <c r="AC3" s="131"/>
      <c r="AD3" s="131"/>
      <c r="AE3" s="131"/>
      <c r="AF3" s="131"/>
      <c r="AG3" s="131"/>
      <c r="AH3" s="123"/>
    </row>
    <row r="4" spans="2:36" s="22" customFormat="1" ht="57" customHeight="1">
      <c r="B4" s="134"/>
      <c r="C4" s="136"/>
      <c r="D4" s="138"/>
      <c r="E4" s="142"/>
      <c r="F4" s="133" t="s">
        <v>261</v>
      </c>
      <c r="G4" s="133"/>
      <c r="H4" s="127" t="s">
        <v>262</v>
      </c>
      <c r="I4" s="128"/>
      <c r="J4" s="127" t="s">
        <v>263</v>
      </c>
      <c r="K4" s="128"/>
      <c r="L4" s="127" t="s">
        <v>264</v>
      </c>
      <c r="M4" s="128"/>
      <c r="N4" s="129" t="s">
        <v>265</v>
      </c>
      <c r="O4" s="132"/>
      <c r="P4" s="127" t="s">
        <v>266</v>
      </c>
      <c r="Q4" s="128"/>
      <c r="R4" s="129" t="s">
        <v>267</v>
      </c>
      <c r="S4" s="132"/>
      <c r="T4" s="127" t="s">
        <v>268</v>
      </c>
      <c r="U4" s="128"/>
      <c r="V4" s="134"/>
      <c r="W4" s="136"/>
      <c r="X4" s="138"/>
      <c r="Y4" s="129" t="s">
        <v>269</v>
      </c>
      <c r="Z4" s="132"/>
      <c r="AA4" s="129" t="s">
        <v>270</v>
      </c>
      <c r="AB4" s="132"/>
      <c r="AC4" s="144" t="s">
        <v>271</v>
      </c>
      <c r="AD4" s="122"/>
      <c r="AE4" s="129" t="s">
        <v>268</v>
      </c>
      <c r="AF4" s="132"/>
      <c r="AG4" s="140" t="s">
        <v>300</v>
      </c>
      <c r="AH4" s="123"/>
      <c r="AI4" s="181" t="s">
        <v>272</v>
      </c>
      <c r="AJ4" s="182"/>
    </row>
    <row r="5" spans="2:36" s="22" customFormat="1" ht="108">
      <c r="B5" s="135"/>
      <c r="C5" s="136"/>
      <c r="D5" s="139"/>
      <c r="E5" s="143"/>
      <c r="F5" s="1" t="s">
        <v>0</v>
      </c>
      <c r="G5" s="1" t="s">
        <v>1</v>
      </c>
      <c r="H5" s="20" t="s">
        <v>0</v>
      </c>
      <c r="I5" s="20" t="s">
        <v>1</v>
      </c>
      <c r="J5" s="20" t="s">
        <v>0</v>
      </c>
      <c r="K5" s="20" t="s">
        <v>1</v>
      </c>
      <c r="L5" s="20" t="s">
        <v>0</v>
      </c>
      <c r="M5" s="20" t="s">
        <v>1</v>
      </c>
      <c r="N5" s="20" t="s">
        <v>0</v>
      </c>
      <c r="O5" s="20" t="s">
        <v>1</v>
      </c>
      <c r="P5" s="20" t="s">
        <v>0</v>
      </c>
      <c r="Q5" s="20" t="s">
        <v>1</v>
      </c>
      <c r="R5" s="20" t="s">
        <v>0</v>
      </c>
      <c r="S5" s="20" t="s">
        <v>1</v>
      </c>
      <c r="T5" s="20" t="s">
        <v>0</v>
      </c>
      <c r="U5" s="20" t="s">
        <v>1</v>
      </c>
      <c r="V5" s="135"/>
      <c r="W5" s="136"/>
      <c r="X5" s="139"/>
      <c r="Y5" s="20" t="s">
        <v>0</v>
      </c>
      <c r="Z5" s="20" t="s">
        <v>1</v>
      </c>
      <c r="AA5" s="20" t="s">
        <v>0</v>
      </c>
      <c r="AB5" s="20" t="s">
        <v>1</v>
      </c>
      <c r="AC5" s="1" t="s">
        <v>0</v>
      </c>
      <c r="AD5" s="1" t="s">
        <v>1</v>
      </c>
      <c r="AE5" s="20" t="s">
        <v>0</v>
      </c>
      <c r="AF5" s="20" t="s">
        <v>1</v>
      </c>
      <c r="AG5" s="20" t="s">
        <v>0</v>
      </c>
      <c r="AH5" s="20" t="s">
        <v>1</v>
      </c>
      <c r="AI5" s="20" t="s">
        <v>0</v>
      </c>
      <c r="AJ5" s="20" t="s">
        <v>1</v>
      </c>
    </row>
    <row r="6" spans="2:36" s="48" customFormat="1" ht="12.75">
      <c r="B6" s="46"/>
      <c r="C6" s="46" t="s">
        <v>273</v>
      </c>
      <c r="D6" s="55">
        <f>D7+D57+D144+D191</f>
        <v>646842.04</v>
      </c>
      <c r="E6" s="47">
        <f>H6+J6+L6+N6+P6+R6+T6+Y6+AA6+AC6+AE6</f>
        <v>3.4400664692418568</v>
      </c>
      <c r="F6" s="47">
        <f>G6/D6/12</f>
        <v>3.440066469241857</v>
      </c>
      <c r="G6" s="67">
        <f>G7+G57+G144+G191</f>
        <v>26702155.3524</v>
      </c>
      <c r="H6" s="47">
        <f>I6/D6/12</f>
        <v>0.5076708392361139</v>
      </c>
      <c r="I6" s="67">
        <f>I7+I57+I144+I191</f>
        <v>3940594.0956</v>
      </c>
      <c r="J6" s="47">
        <f>K6/D6/12</f>
        <v>0.3658589205179057</v>
      </c>
      <c r="K6" s="67">
        <f>K7+K57+K144+K191</f>
        <v>2839835.1659999997</v>
      </c>
      <c r="L6" s="47">
        <f>M6/D6/12</f>
        <v>0.36614318775569993</v>
      </c>
      <c r="M6" s="67">
        <f>M7+M57+M144+M191</f>
        <v>2842041.678</v>
      </c>
      <c r="N6" s="47">
        <f>O6/D6/12</f>
        <v>0.14915012264818162</v>
      </c>
      <c r="O6" s="67">
        <f>O7+O57+O144+O191</f>
        <v>1157718.8352</v>
      </c>
      <c r="P6" s="47">
        <f>Q6/D6/12</f>
        <v>0.25875591048472973</v>
      </c>
      <c r="Q6" s="67">
        <f>Q7+Q57+Q144+Q191</f>
        <v>2008490.4119999998</v>
      </c>
      <c r="R6" s="47">
        <f>S6/D6/12</f>
        <v>0.35906905865302124</v>
      </c>
      <c r="S6" s="67">
        <f>S7+S57+S144+S191</f>
        <v>2787131.548799999</v>
      </c>
      <c r="T6" s="47">
        <f>U6/D6/12</f>
        <v>0.17834292913305386</v>
      </c>
      <c r="U6" s="67">
        <f>U7+U57+U144+U191</f>
        <v>1384316.4492000001</v>
      </c>
      <c r="V6" s="46"/>
      <c r="W6" s="46" t="s">
        <v>273</v>
      </c>
      <c r="X6" s="55">
        <f>X7+X57+X144+X191</f>
        <v>646842.04</v>
      </c>
      <c r="Y6" s="47">
        <f>Z6/D6/12</f>
        <v>0.4639992561398761</v>
      </c>
      <c r="Z6" s="67">
        <f>Z7+Z57+Z144+Z191</f>
        <v>3601610.7048</v>
      </c>
      <c r="AA6" s="47">
        <f>AB6/D6/12</f>
        <v>0.40287730865483024</v>
      </c>
      <c r="AB6" s="67">
        <f>AB7+AB57+AB144+AB191</f>
        <v>3127175.7624000004</v>
      </c>
      <c r="AC6" s="47">
        <f>AD6/D6/12</f>
        <v>0.2208165375274619</v>
      </c>
      <c r="AD6" s="67">
        <f>AD7+AD57+AD144+AD191</f>
        <v>1714001.0352</v>
      </c>
      <c r="AE6" s="47">
        <f>AF6/D6/12</f>
        <v>0.16738239849098246</v>
      </c>
      <c r="AF6" s="67">
        <f>AF7+AF57+AF144+AF191</f>
        <v>1299239.6652000002</v>
      </c>
      <c r="AG6" s="183">
        <f>AH6/D6/12</f>
        <v>0.007712188898544689</v>
      </c>
      <c r="AH6" s="67">
        <f>AH7+AH57+AH144+AH191</f>
        <v>59862.816</v>
      </c>
      <c r="AI6" s="184"/>
      <c r="AJ6" s="67">
        <f>AJ7+AJ57+AJ144+AJ191</f>
        <v>0</v>
      </c>
    </row>
    <row r="7" spans="2:36" s="45" customFormat="1" ht="12.75">
      <c r="B7" s="31"/>
      <c r="C7" s="25" t="s">
        <v>2</v>
      </c>
      <c r="D7" s="164">
        <f>SUM(D8:D56)</f>
        <v>162656.13</v>
      </c>
      <c r="E7" s="32">
        <f>H7+J7+L7+N7+P7+R7+T7+Y7+AA7+AC7+AE7</f>
        <v>3.0499227671284195</v>
      </c>
      <c r="F7" s="32">
        <f>G7/D7/12</f>
        <v>3.0499227671284204</v>
      </c>
      <c r="G7" s="68">
        <f>SUM(G8:G56)</f>
        <v>5953063.609200002</v>
      </c>
      <c r="H7" s="32">
        <f>I7/D7/12</f>
        <v>0.4365506814898397</v>
      </c>
      <c r="I7" s="68">
        <f>SUM(I8:I56)</f>
        <v>852091.7327999996</v>
      </c>
      <c r="J7" s="32">
        <f>K7/D7/12</f>
        <v>0.22434063198232979</v>
      </c>
      <c r="K7" s="68">
        <f>SUM(K8:K56)</f>
        <v>437884.5479999999</v>
      </c>
      <c r="L7" s="32">
        <f>M7/D7/12</f>
        <v>0.3204355839524768</v>
      </c>
      <c r="M7" s="68">
        <f>SUM(M8:M56)</f>
        <v>625449.7439999997</v>
      </c>
      <c r="N7" s="33">
        <f>O7/D7/12</f>
        <v>0.14669844905322652</v>
      </c>
      <c r="O7" s="68">
        <f>SUM(O8:O56)</f>
        <v>286336.8239999999</v>
      </c>
      <c r="P7" s="32">
        <f>Q7/D7/12</f>
        <v>0.25962225340047124</v>
      </c>
      <c r="Q7" s="68">
        <f>SUM(Q8:Q56)</f>
        <v>506749.81199999986</v>
      </c>
      <c r="R7" s="31">
        <f>S7/D7/12</f>
        <v>0.3600000000000001</v>
      </c>
      <c r="S7" s="68">
        <f>SUM(S8:S56)</f>
        <v>702674.4816000002</v>
      </c>
      <c r="T7" s="32">
        <f>U7/D7/12</f>
        <v>0.1652473411238789</v>
      </c>
      <c r="U7" s="68">
        <f>SUM(U8:U56)</f>
        <v>322541.9159999999</v>
      </c>
      <c r="V7" s="31"/>
      <c r="W7" s="25" t="s">
        <v>2</v>
      </c>
      <c r="X7" s="164">
        <f>SUM(X8:X56)</f>
        <v>162656.13</v>
      </c>
      <c r="Y7" s="32">
        <f>Z7/D7/12</f>
        <v>0.4139436589324976</v>
      </c>
      <c r="Z7" s="68">
        <f>SUM(Z8:Z56)</f>
        <v>807965.6832</v>
      </c>
      <c r="AA7" s="33">
        <f>AB7/D7/12</f>
        <v>0.3615047357883161</v>
      </c>
      <c r="AB7" s="68">
        <f>SUM(AB8:AB56)</f>
        <v>705611.5356</v>
      </c>
      <c r="AC7" s="32">
        <f>AD7/D7/12</f>
        <v>0.20975467693716798</v>
      </c>
      <c r="AD7" s="68">
        <f>SUM(AD8:AD56)</f>
        <v>409414.60799999995</v>
      </c>
      <c r="AE7" s="32">
        <f>AF7/D7/12</f>
        <v>0.1518247544682146</v>
      </c>
      <c r="AF7" s="68">
        <f>SUM(AF8:AF56)</f>
        <v>296342.724</v>
      </c>
      <c r="AG7" s="185">
        <f>AH7/D7/12</f>
        <v>0.008731696739618726</v>
      </c>
      <c r="AH7" s="165">
        <f>SUM(AH8:AH56)</f>
        <v>17043.167999999998</v>
      </c>
      <c r="AI7" s="44"/>
      <c r="AJ7" s="68">
        <f>SUM(AJ8:AJ56)</f>
        <v>0</v>
      </c>
    </row>
    <row r="8" spans="1:36" ht="12.75">
      <c r="A8" s="6">
        <v>1</v>
      </c>
      <c r="B8" s="31">
        <v>1</v>
      </c>
      <c r="C8" s="3" t="s">
        <v>99</v>
      </c>
      <c r="D8" s="168">
        <v>3171</v>
      </c>
      <c r="E8" s="7">
        <f>H8+J8+L8+N8+P8+R8+T8+Y8+AA8+AC8+AE8</f>
        <v>2.61</v>
      </c>
      <c r="F8" s="7">
        <f>G8/D8/12</f>
        <v>2.61</v>
      </c>
      <c r="G8" s="69">
        <f>I8+K8+M8+O8+Q8+S8+U8+Z8+AD8+AF8+AB8</f>
        <v>99315.72</v>
      </c>
      <c r="H8" s="2">
        <v>0.38</v>
      </c>
      <c r="I8" s="69">
        <f>H8*D8*12</f>
        <v>14459.76</v>
      </c>
      <c r="J8" s="6">
        <v>0.28</v>
      </c>
      <c r="K8" s="69">
        <f>J8*D8*12</f>
        <v>10654.560000000001</v>
      </c>
      <c r="L8" s="6">
        <v>0.3</v>
      </c>
      <c r="M8" s="69">
        <f>D8*L8*12</f>
        <v>11415.599999999999</v>
      </c>
      <c r="N8" s="6">
        <v>0</v>
      </c>
      <c r="O8" s="69">
        <f>N8*D8*12</f>
        <v>0</v>
      </c>
      <c r="P8" s="6">
        <v>0.2</v>
      </c>
      <c r="Q8" s="69">
        <f>P8*D8*12</f>
        <v>7610.400000000001</v>
      </c>
      <c r="R8" s="7">
        <v>0.36</v>
      </c>
      <c r="S8" s="69">
        <f>R8*D8*12</f>
        <v>13698.72</v>
      </c>
      <c r="T8" s="7">
        <v>0.1</v>
      </c>
      <c r="U8" s="69">
        <f>T8*D8*12</f>
        <v>3805.2000000000003</v>
      </c>
      <c r="V8" s="31">
        <v>1</v>
      </c>
      <c r="W8" s="3" t="s">
        <v>99</v>
      </c>
      <c r="X8" s="168">
        <v>3171</v>
      </c>
      <c r="Y8" s="6">
        <v>0.5</v>
      </c>
      <c r="Z8" s="69">
        <f>Y8*D8*12</f>
        <v>19026</v>
      </c>
      <c r="AA8" s="2">
        <v>0.29</v>
      </c>
      <c r="AB8" s="69">
        <f>AA8*D8*12</f>
        <v>11035.079999999998</v>
      </c>
      <c r="AC8" s="7">
        <v>0.15</v>
      </c>
      <c r="AD8" s="69">
        <f>AC8*D8*12</f>
        <v>5707.799999999999</v>
      </c>
      <c r="AE8" s="6">
        <v>0.05</v>
      </c>
      <c r="AF8" s="69">
        <f>AE8*D8*12</f>
        <v>1902.6000000000001</v>
      </c>
      <c r="AG8" s="2"/>
      <c r="AH8" s="17"/>
      <c r="AI8" s="6"/>
      <c r="AJ8" s="2"/>
    </row>
    <row r="9" spans="1:36" ht="12.75">
      <c r="A9" s="6">
        <f>A8+1</f>
        <v>2</v>
      </c>
      <c r="B9" s="6">
        <f>B8+1</f>
        <v>2</v>
      </c>
      <c r="C9" s="3" t="s">
        <v>100</v>
      </c>
      <c r="D9" s="168">
        <v>3122</v>
      </c>
      <c r="E9" s="7">
        <f>H9+J9+L9+N9+P9+R9+T9+Y9+AA9+AC9+AE9</f>
        <v>2.97</v>
      </c>
      <c r="F9" s="7">
        <f aca="true" t="shared" si="0" ref="F9:F56">G9/D9/12</f>
        <v>2.9699999999999993</v>
      </c>
      <c r="G9" s="69">
        <f aca="true" t="shared" si="1" ref="G9:G56">I9+K9+M9+O9+Q9+S9+U9+Z9+AD9+AF9+AB9</f>
        <v>111268.07999999999</v>
      </c>
      <c r="H9" s="2">
        <v>0.5</v>
      </c>
      <c r="I9" s="69">
        <f aca="true" t="shared" si="2" ref="I9:I72">H9*D9*12</f>
        <v>18732</v>
      </c>
      <c r="J9" s="2">
        <v>0.3</v>
      </c>
      <c r="K9" s="69">
        <f aca="true" t="shared" si="3" ref="K9:K72">J9*D9*12</f>
        <v>11239.199999999999</v>
      </c>
      <c r="L9" s="2">
        <v>0.4</v>
      </c>
      <c r="M9" s="69">
        <f aca="true" t="shared" si="4" ref="M9:M72">D9*L9*12</f>
        <v>14985.600000000002</v>
      </c>
      <c r="N9" s="2"/>
      <c r="O9" s="69">
        <f aca="true" t="shared" si="5" ref="O9:O72">N9*D9*12</f>
        <v>0</v>
      </c>
      <c r="P9" s="2">
        <v>0.3</v>
      </c>
      <c r="Q9" s="69">
        <f aca="true" t="shared" si="6" ref="Q9:Q72">P9*D9*12</f>
        <v>11239.199999999999</v>
      </c>
      <c r="R9" s="7">
        <v>0.36</v>
      </c>
      <c r="S9" s="69">
        <f aca="true" t="shared" si="7" ref="S9:S72">R9*D9*12</f>
        <v>13487.039999999997</v>
      </c>
      <c r="T9" s="21">
        <v>0.1</v>
      </c>
      <c r="U9" s="69">
        <f aca="true" t="shared" si="8" ref="U9:U72">T9*D9*12</f>
        <v>3746.4000000000005</v>
      </c>
      <c r="V9" s="6">
        <f>V8+1</f>
        <v>2</v>
      </c>
      <c r="W9" s="3" t="s">
        <v>100</v>
      </c>
      <c r="X9" s="168">
        <v>3122</v>
      </c>
      <c r="Y9" s="2">
        <v>0.46</v>
      </c>
      <c r="Z9" s="69">
        <f aca="true" t="shared" si="9" ref="Z9:Z72">Y9*D9*12</f>
        <v>17233.440000000002</v>
      </c>
      <c r="AA9" s="2">
        <v>0.3</v>
      </c>
      <c r="AB9" s="69">
        <f aca="true" t="shared" si="10" ref="AB9:AB72">AA9*D9*12</f>
        <v>11239.199999999999</v>
      </c>
      <c r="AC9" s="21">
        <v>0.15</v>
      </c>
      <c r="AD9" s="69">
        <f aca="true" t="shared" si="11" ref="AD9:AD72">AC9*D9*12</f>
        <v>5619.599999999999</v>
      </c>
      <c r="AE9" s="2">
        <v>0.1</v>
      </c>
      <c r="AF9" s="69">
        <f aca="true" t="shared" si="12" ref="AF9:AF72">AE9*D9*12</f>
        <v>3746.4000000000005</v>
      </c>
      <c r="AG9" s="2"/>
      <c r="AH9" s="17"/>
      <c r="AI9" s="6"/>
      <c r="AJ9" s="2"/>
    </row>
    <row r="10" spans="1:36" ht="12.75">
      <c r="A10" s="6">
        <f aca="true" t="shared" si="13" ref="A10:A56">A9+1</f>
        <v>3</v>
      </c>
      <c r="B10" s="6">
        <f aca="true" t="shared" si="14" ref="B10:B56">B9+1</f>
        <v>3</v>
      </c>
      <c r="C10" s="3" t="s">
        <v>3</v>
      </c>
      <c r="D10" s="80">
        <v>5205.1</v>
      </c>
      <c r="E10" s="7">
        <f>H10+J10+L10+N10+P10+R10+T10+Y10+AA10+AC10+AE10</f>
        <v>3.0200000000000005</v>
      </c>
      <c r="F10" s="7">
        <f t="shared" si="0"/>
        <v>3.019999999999999</v>
      </c>
      <c r="G10" s="69">
        <f t="shared" si="1"/>
        <v>188632.82399999996</v>
      </c>
      <c r="H10" s="2">
        <v>0.59</v>
      </c>
      <c r="I10" s="69">
        <f t="shared" si="2"/>
        <v>36852.108</v>
      </c>
      <c r="J10" s="6">
        <v>0.2</v>
      </c>
      <c r="K10" s="69">
        <f t="shared" si="3"/>
        <v>12492.240000000002</v>
      </c>
      <c r="L10" s="6">
        <v>0.3</v>
      </c>
      <c r="M10" s="69">
        <f t="shared" si="4"/>
        <v>18738.36</v>
      </c>
      <c r="N10" s="6">
        <v>0.2</v>
      </c>
      <c r="O10" s="69">
        <f t="shared" si="5"/>
        <v>12492.240000000002</v>
      </c>
      <c r="P10" s="6">
        <v>0.3</v>
      </c>
      <c r="Q10" s="69">
        <f t="shared" si="6"/>
        <v>18738.36</v>
      </c>
      <c r="R10" s="7">
        <v>0.36</v>
      </c>
      <c r="S10" s="69">
        <f t="shared" si="7"/>
        <v>22486.032</v>
      </c>
      <c r="T10" s="7">
        <v>0.12</v>
      </c>
      <c r="U10" s="69">
        <f t="shared" si="8"/>
        <v>7495.343999999999</v>
      </c>
      <c r="V10" s="6">
        <f aca="true" t="shared" si="15" ref="V10:V56">V9+1</f>
        <v>3</v>
      </c>
      <c r="W10" s="3" t="s">
        <v>3</v>
      </c>
      <c r="X10" s="80">
        <v>5205.1</v>
      </c>
      <c r="Y10" s="6">
        <f>0.15+0.1+0.1</f>
        <v>0.35</v>
      </c>
      <c r="Z10" s="69">
        <f t="shared" si="9"/>
        <v>21861.420000000002</v>
      </c>
      <c r="AA10" s="2">
        <v>0.3</v>
      </c>
      <c r="AB10" s="69">
        <f t="shared" si="10"/>
        <v>18738.36</v>
      </c>
      <c r="AC10" s="7">
        <v>0.2</v>
      </c>
      <c r="AD10" s="69">
        <f t="shared" si="11"/>
        <v>12492.240000000002</v>
      </c>
      <c r="AE10" s="6">
        <v>0.1</v>
      </c>
      <c r="AF10" s="69">
        <f t="shared" si="12"/>
        <v>6246.120000000001</v>
      </c>
      <c r="AG10" s="2"/>
      <c r="AH10" s="17"/>
      <c r="AI10" s="6"/>
      <c r="AJ10" s="2"/>
    </row>
    <row r="11" spans="1:36" ht="12.75">
      <c r="A11" s="6">
        <f t="shared" si="13"/>
        <v>4</v>
      </c>
      <c r="B11" s="6">
        <f t="shared" si="14"/>
        <v>4</v>
      </c>
      <c r="C11" s="3" t="s">
        <v>4</v>
      </c>
      <c r="D11" s="80">
        <v>4769.4</v>
      </c>
      <c r="E11" s="7">
        <f aca="true" t="shared" si="16" ref="E11:E54">H11+J11+L11+N11+P11+R11+T11+Y11+AA11+AC11+AE11</f>
        <v>3.1</v>
      </c>
      <c r="F11" s="7">
        <f t="shared" si="0"/>
        <v>3.1</v>
      </c>
      <c r="G11" s="69">
        <f t="shared" si="1"/>
        <v>177421.68</v>
      </c>
      <c r="H11" s="2">
        <v>0.44</v>
      </c>
      <c r="I11" s="69">
        <f t="shared" si="2"/>
        <v>25182.432</v>
      </c>
      <c r="J11" s="2">
        <v>0.2</v>
      </c>
      <c r="K11" s="69">
        <f t="shared" si="3"/>
        <v>11446.56</v>
      </c>
      <c r="L11" s="2">
        <v>0.3</v>
      </c>
      <c r="M11" s="69">
        <f t="shared" si="4"/>
        <v>17169.84</v>
      </c>
      <c r="N11" s="2">
        <v>0.3</v>
      </c>
      <c r="O11" s="69">
        <f t="shared" si="5"/>
        <v>17169.84</v>
      </c>
      <c r="P11" s="2">
        <v>0.4</v>
      </c>
      <c r="Q11" s="69">
        <f t="shared" si="6"/>
        <v>22893.12</v>
      </c>
      <c r="R11" s="7">
        <v>0.36</v>
      </c>
      <c r="S11" s="69">
        <f t="shared" si="7"/>
        <v>20603.807999999997</v>
      </c>
      <c r="T11" s="21">
        <v>0.12</v>
      </c>
      <c r="U11" s="69">
        <f t="shared" si="8"/>
        <v>6867.936</v>
      </c>
      <c r="V11" s="6">
        <f t="shared" si="15"/>
        <v>4</v>
      </c>
      <c r="W11" s="3" t="s">
        <v>4</v>
      </c>
      <c r="X11" s="80">
        <v>4769.4</v>
      </c>
      <c r="Y11" s="2">
        <v>0.33</v>
      </c>
      <c r="Z11" s="69">
        <f t="shared" si="9"/>
        <v>18886.824</v>
      </c>
      <c r="AA11" s="2">
        <v>0.3</v>
      </c>
      <c r="AB11" s="69">
        <f t="shared" si="10"/>
        <v>17169.84</v>
      </c>
      <c r="AC11" s="21">
        <v>0.2</v>
      </c>
      <c r="AD11" s="69">
        <f t="shared" si="11"/>
        <v>11446.56</v>
      </c>
      <c r="AE11" s="2">
        <v>0.15</v>
      </c>
      <c r="AF11" s="69">
        <f t="shared" si="12"/>
        <v>8584.92</v>
      </c>
      <c r="AG11" s="2"/>
      <c r="AH11" s="17"/>
      <c r="AI11" s="6"/>
      <c r="AJ11" s="2"/>
    </row>
    <row r="12" spans="1:36" ht="12.75">
      <c r="A12" s="6">
        <f t="shared" si="13"/>
        <v>5</v>
      </c>
      <c r="B12" s="6">
        <f t="shared" si="14"/>
        <v>5</v>
      </c>
      <c r="C12" s="3" t="s">
        <v>5</v>
      </c>
      <c r="D12" s="80">
        <v>3529.3</v>
      </c>
      <c r="E12" s="7">
        <f t="shared" si="16"/>
        <v>2.8499999999999996</v>
      </c>
      <c r="F12" s="7">
        <f t="shared" si="0"/>
        <v>2.85</v>
      </c>
      <c r="G12" s="69">
        <f t="shared" si="1"/>
        <v>120702.06000000003</v>
      </c>
      <c r="H12" s="2">
        <v>0.41</v>
      </c>
      <c r="I12" s="69">
        <f t="shared" si="2"/>
        <v>17364.156</v>
      </c>
      <c r="J12" s="6">
        <v>0.2</v>
      </c>
      <c r="K12" s="69">
        <f t="shared" si="3"/>
        <v>8470.320000000002</v>
      </c>
      <c r="L12" s="6">
        <v>0.3</v>
      </c>
      <c r="M12" s="69">
        <f t="shared" si="4"/>
        <v>12705.48</v>
      </c>
      <c r="N12" s="6">
        <v>0.2</v>
      </c>
      <c r="O12" s="69">
        <f t="shared" si="5"/>
        <v>8470.320000000002</v>
      </c>
      <c r="P12" s="6">
        <v>0.3</v>
      </c>
      <c r="Q12" s="69">
        <f t="shared" si="6"/>
        <v>12705.48</v>
      </c>
      <c r="R12" s="7">
        <v>0.36</v>
      </c>
      <c r="S12" s="69">
        <f t="shared" si="7"/>
        <v>15246.576000000001</v>
      </c>
      <c r="T12" s="7">
        <v>0.13</v>
      </c>
      <c r="U12" s="69">
        <f t="shared" si="8"/>
        <v>5505.7080000000005</v>
      </c>
      <c r="V12" s="6">
        <f t="shared" si="15"/>
        <v>5</v>
      </c>
      <c r="W12" s="3" t="s">
        <v>5</v>
      </c>
      <c r="X12" s="80">
        <v>3529.3</v>
      </c>
      <c r="Y12" s="6">
        <v>0.38</v>
      </c>
      <c r="Z12" s="69">
        <f t="shared" si="9"/>
        <v>16093.608</v>
      </c>
      <c r="AA12" s="2">
        <v>0.32</v>
      </c>
      <c r="AB12" s="69">
        <f t="shared" si="10"/>
        <v>13552.511999999999</v>
      </c>
      <c r="AC12" s="7">
        <v>0.15</v>
      </c>
      <c r="AD12" s="69">
        <f t="shared" si="11"/>
        <v>6352.74</v>
      </c>
      <c r="AE12" s="6">
        <v>0.1</v>
      </c>
      <c r="AF12" s="69">
        <f t="shared" si="12"/>
        <v>4235.160000000001</v>
      </c>
      <c r="AG12" s="2"/>
      <c r="AH12" s="17"/>
      <c r="AI12" s="6"/>
      <c r="AJ12" s="2"/>
    </row>
    <row r="13" spans="1:36" ht="12.75">
      <c r="A13" s="6">
        <f t="shared" si="13"/>
        <v>6</v>
      </c>
      <c r="B13" s="6">
        <f t="shared" si="14"/>
        <v>6</v>
      </c>
      <c r="C13" s="3" t="s">
        <v>6</v>
      </c>
      <c r="D13" s="80">
        <v>2617.4</v>
      </c>
      <c r="E13" s="7">
        <f t="shared" si="16"/>
        <v>2.78</v>
      </c>
      <c r="F13" s="7">
        <f t="shared" si="0"/>
        <v>2.7800000000000007</v>
      </c>
      <c r="G13" s="69">
        <f t="shared" si="1"/>
        <v>87316.46400000002</v>
      </c>
      <c r="H13" s="2">
        <v>0.37</v>
      </c>
      <c r="I13" s="69">
        <f t="shared" si="2"/>
        <v>11621.256</v>
      </c>
      <c r="J13" s="2">
        <v>0.2</v>
      </c>
      <c r="K13" s="69">
        <f t="shared" si="3"/>
        <v>6281.76</v>
      </c>
      <c r="L13" s="2">
        <v>0.3</v>
      </c>
      <c r="M13" s="69">
        <f t="shared" si="4"/>
        <v>9422.64</v>
      </c>
      <c r="N13" s="2">
        <v>0.2</v>
      </c>
      <c r="O13" s="69">
        <f t="shared" si="5"/>
        <v>6281.76</v>
      </c>
      <c r="P13" s="2">
        <v>0.3</v>
      </c>
      <c r="Q13" s="69">
        <f t="shared" si="6"/>
        <v>9422.64</v>
      </c>
      <c r="R13" s="7">
        <v>0.36</v>
      </c>
      <c r="S13" s="69">
        <f t="shared" si="7"/>
        <v>11307.168</v>
      </c>
      <c r="T13" s="21">
        <v>0.12</v>
      </c>
      <c r="U13" s="69">
        <f t="shared" si="8"/>
        <v>3769.0560000000005</v>
      </c>
      <c r="V13" s="6">
        <f t="shared" si="15"/>
        <v>6</v>
      </c>
      <c r="W13" s="3" t="s">
        <v>6</v>
      </c>
      <c r="X13" s="80">
        <v>2617.4</v>
      </c>
      <c r="Y13" s="2">
        <v>0.36</v>
      </c>
      <c r="Z13" s="69">
        <f t="shared" si="9"/>
        <v>11307.168</v>
      </c>
      <c r="AA13" s="2">
        <v>0.32</v>
      </c>
      <c r="AB13" s="69">
        <f t="shared" si="10"/>
        <v>10050.816</v>
      </c>
      <c r="AC13" s="21">
        <v>0.15</v>
      </c>
      <c r="AD13" s="69">
        <f t="shared" si="11"/>
        <v>4711.32</v>
      </c>
      <c r="AE13" s="2">
        <v>0.1</v>
      </c>
      <c r="AF13" s="69">
        <f t="shared" si="12"/>
        <v>3140.88</v>
      </c>
      <c r="AG13" s="2"/>
      <c r="AH13" s="17"/>
      <c r="AI13" s="6"/>
      <c r="AJ13" s="2"/>
    </row>
    <row r="14" spans="1:36" ht="12.75">
      <c r="A14" s="6">
        <f t="shared" si="13"/>
        <v>7</v>
      </c>
      <c r="B14" s="6">
        <f t="shared" si="14"/>
        <v>7</v>
      </c>
      <c r="C14" s="3" t="s">
        <v>7</v>
      </c>
      <c r="D14" s="168">
        <v>6336.1</v>
      </c>
      <c r="E14" s="7">
        <f t="shared" si="16"/>
        <v>2.57</v>
      </c>
      <c r="F14" s="7">
        <f t="shared" si="0"/>
        <v>2.5700000000000003</v>
      </c>
      <c r="G14" s="69">
        <f t="shared" si="1"/>
        <v>195405.32400000002</v>
      </c>
      <c r="H14" s="2">
        <v>0.37</v>
      </c>
      <c r="I14" s="69">
        <f t="shared" si="2"/>
        <v>28132.284</v>
      </c>
      <c r="J14" s="6">
        <v>0.32</v>
      </c>
      <c r="K14" s="69">
        <f t="shared" si="3"/>
        <v>24330.624000000003</v>
      </c>
      <c r="L14" s="6">
        <v>0.2</v>
      </c>
      <c r="M14" s="69">
        <f t="shared" si="4"/>
        <v>15206.640000000003</v>
      </c>
      <c r="N14" s="6">
        <v>0.2</v>
      </c>
      <c r="O14" s="69">
        <f t="shared" si="5"/>
        <v>15206.640000000003</v>
      </c>
      <c r="P14" s="6">
        <v>0.2</v>
      </c>
      <c r="Q14" s="69">
        <f t="shared" si="6"/>
        <v>15206.640000000003</v>
      </c>
      <c r="R14" s="7">
        <v>0.36</v>
      </c>
      <c r="S14" s="69">
        <f t="shared" si="7"/>
        <v>27371.952</v>
      </c>
      <c r="T14" s="7">
        <v>0.1</v>
      </c>
      <c r="U14" s="69">
        <f t="shared" si="8"/>
        <v>7603.3200000000015</v>
      </c>
      <c r="V14" s="6">
        <f t="shared" si="15"/>
        <v>7</v>
      </c>
      <c r="W14" s="3" t="s">
        <v>7</v>
      </c>
      <c r="X14" s="168">
        <v>6336.1</v>
      </c>
      <c r="Y14" s="6">
        <v>0.32</v>
      </c>
      <c r="Z14" s="69">
        <f t="shared" si="9"/>
        <v>24330.624000000003</v>
      </c>
      <c r="AA14" s="2">
        <v>0.3</v>
      </c>
      <c r="AB14" s="69">
        <f>AA14*D14*12</f>
        <v>22809.96</v>
      </c>
      <c r="AC14" s="7">
        <v>0.1</v>
      </c>
      <c r="AD14" s="69">
        <f t="shared" si="11"/>
        <v>7603.3200000000015</v>
      </c>
      <c r="AE14" s="6">
        <v>0.1</v>
      </c>
      <c r="AF14" s="69">
        <f t="shared" si="12"/>
        <v>7603.3200000000015</v>
      </c>
      <c r="AG14" s="2"/>
      <c r="AH14" s="17"/>
      <c r="AI14" s="6"/>
      <c r="AJ14" s="2"/>
    </row>
    <row r="15" spans="1:36" ht="12.75">
      <c r="A15" s="6">
        <f t="shared" si="13"/>
        <v>8</v>
      </c>
      <c r="B15" s="6">
        <f t="shared" si="14"/>
        <v>8</v>
      </c>
      <c r="C15" s="3" t="s">
        <v>8</v>
      </c>
      <c r="D15" s="80">
        <v>2266.4</v>
      </c>
      <c r="E15" s="7">
        <f t="shared" si="16"/>
        <v>2.83</v>
      </c>
      <c r="F15" s="7">
        <f t="shared" si="0"/>
        <v>2.8299999999999996</v>
      </c>
      <c r="G15" s="69">
        <f t="shared" si="1"/>
        <v>76966.94399999999</v>
      </c>
      <c r="H15" s="2">
        <v>0.29</v>
      </c>
      <c r="I15" s="69">
        <f t="shared" si="2"/>
        <v>7887.072</v>
      </c>
      <c r="J15" s="6">
        <v>0.25</v>
      </c>
      <c r="K15" s="69">
        <f t="shared" si="3"/>
        <v>6799.200000000001</v>
      </c>
      <c r="L15" s="6">
        <v>0.2</v>
      </c>
      <c r="M15" s="69">
        <f t="shared" si="4"/>
        <v>5439.360000000001</v>
      </c>
      <c r="N15" s="6">
        <v>0.2</v>
      </c>
      <c r="O15" s="69">
        <f t="shared" si="5"/>
        <v>5439.360000000001</v>
      </c>
      <c r="P15" s="6">
        <v>0.3</v>
      </c>
      <c r="Q15" s="69">
        <f t="shared" si="6"/>
        <v>8159.039999999999</v>
      </c>
      <c r="R15" s="7">
        <v>0.36</v>
      </c>
      <c r="S15" s="69">
        <f t="shared" si="7"/>
        <v>9790.848</v>
      </c>
      <c r="T15" s="7">
        <v>0.2</v>
      </c>
      <c r="U15" s="69">
        <f t="shared" si="8"/>
        <v>5439.360000000001</v>
      </c>
      <c r="V15" s="6">
        <f t="shared" si="15"/>
        <v>8</v>
      </c>
      <c r="W15" s="3" t="s">
        <v>8</v>
      </c>
      <c r="X15" s="80">
        <v>2266.4</v>
      </c>
      <c r="Y15" s="6">
        <v>0.36</v>
      </c>
      <c r="Z15" s="69">
        <f t="shared" si="9"/>
        <v>9790.848</v>
      </c>
      <c r="AA15" s="2">
        <v>0.32</v>
      </c>
      <c r="AB15" s="69">
        <f t="shared" si="10"/>
        <v>8702.976</v>
      </c>
      <c r="AC15" s="7">
        <v>0.2</v>
      </c>
      <c r="AD15" s="69">
        <f t="shared" si="11"/>
        <v>5439.360000000001</v>
      </c>
      <c r="AE15" s="6">
        <v>0.15</v>
      </c>
      <c r="AF15" s="69">
        <f t="shared" si="12"/>
        <v>4079.5199999999995</v>
      </c>
      <c r="AG15" s="2"/>
      <c r="AH15" s="17"/>
      <c r="AI15" s="6"/>
      <c r="AJ15" s="2"/>
    </row>
    <row r="16" spans="1:36" ht="12.75">
      <c r="A16" s="6">
        <f t="shared" si="13"/>
        <v>9</v>
      </c>
      <c r="B16" s="6">
        <f t="shared" si="14"/>
        <v>9</v>
      </c>
      <c r="C16" s="3" t="s">
        <v>9</v>
      </c>
      <c r="D16" s="80">
        <v>3372.26</v>
      </c>
      <c r="E16" s="7">
        <f t="shared" si="16"/>
        <v>2.8800000000000003</v>
      </c>
      <c r="F16" s="7">
        <f t="shared" si="0"/>
        <v>2.8799999999999994</v>
      </c>
      <c r="G16" s="69">
        <f t="shared" si="1"/>
        <v>116545.30559999999</v>
      </c>
      <c r="H16" s="2">
        <v>0.34</v>
      </c>
      <c r="I16" s="69">
        <f t="shared" si="2"/>
        <v>13758.820800000001</v>
      </c>
      <c r="J16" s="6">
        <v>0.2</v>
      </c>
      <c r="K16" s="69">
        <f t="shared" si="3"/>
        <v>8093.424000000001</v>
      </c>
      <c r="L16" s="6">
        <v>0.3</v>
      </c>
      <c r="M16" s="69">
        <f t="shared" si="4"/>
        <v>12140.136</v>
      </c>
      <c r="N16" s="6">
        <v>0.1</v>
      </c>
      <c r="O16" s="69">
        <f t="shared" si="5"/>
        <v>4046.7120000000004</v>
      </c>
      <c r="P16" s="6">
        <v>0.3</v>
      </c>
      <c r="Q16" s="69">
        <f t="shared" si="6"/>
        <v>12140.136</v>
      </c>
      <c r="R16" s="7">
        <v>0.36</v>
      </c>
      <c r="S16" s="69">
        <f t="shared" si="7"/>
        <v>14568.163199999999</v>
      </c>
      <c r="T16" s="7">
        <v>0.2</v>
      </c>
      <c r="U16" s="69">
        <f t="shared" si="8"/>
        <v>8093.424000000001</v>
      </c>
      <c r="V16" s="6">
        <f t="shared" si="15"/>
        <v>9</v>
      </c>
      <c r="W16" s="3" t="s">
        <v>9</v>
      </c>
      <c r="X16" s="80">
        <v>3372.26</v>
      </c>
      <c r="Y16" s="6">
        <v>0.36</v>
      </c>
      <c r="Z16" s="69">
        <f t="shared" si="9"/>
        <v>14568.163199999999</v>
      </c>
      <c r="AA16" s="2">
        <v>0.32</v>
      </c>
      <c r="AB16" s="69">
        <f t="shared" si="10"/>
        <v>12949.4784</v>
      </c>
      <c r="AC16" s="7">
        <v>0.2</v>
      </c>
      <c r="AD16" s="69">
        <f t="shared" si="11"/>
        <v>8093.424000000001</v>
      </c>
      <c r="AE16" s="6">
        <v>0.2</v>
      </c>
      <c r="AF16" s="69">
        <f t="shared" si="12"/>
        <v>8093.424000000001</v>
      </c>
      <c r="AG16" s="2"/>
      <c r="AH16" s="17"/>
      <c r="AI16" s="6"/>
      <c r="AJ16" s="2"/>
    </row>
    <row r="17" spans="1:36" ht="12.75">
      <c r="A17" s="6">
        <f t="shared" si="13"/>
        <v>10</v>
      </c>
      <c r="B17" s="6">
        <f t="shared" si="14"/>
        <v>10</v>
      </c>
      <c r="C17" s="3" t="s">
        <v>10</v>
      </c>
      <c r="D17" s="80">
        <v>5245.9</v>
      </c>
      <c r="E17" s="7">
        <f t="shared" si="16"/>
        <v>3.19</v>
      </c>
      <c r="F17" s="7">
        <f t="shared" si="0"/>
        <v>3.19</v>
      </c>
      <c r="G17" s="69">
        <f t="shared" si="1"/>
        <v>200813.052</v>
      </c>
      <c r="H17" s="2">
        <v>0.44</v>
      </c>
      <c r="I17" s="69">
        <f t="shared" si="2"/>
        <v>27698.352</v>
      </c>
      <c r="J17" s="2">
        <v>0.2</v>
      </c>
      <c r="K17" s="69">
        <f t="shared" si="3"/>
        <v>12590.16</v>
      </c>
      <c r="L17" s="2">
        <v>0.3</v>
      </c>
      <c r="M17" s="69">
        <f t="shared" si="4"/>
        <v>18885.239999999998</v>
      </c>
      <c r="N17" s="2">
        <v>0.2</v>
      </c>
      <c r="O17" s="69">
        <f t="shared" si="5"/>
        <v>12590.16</v>
      </c>
      <c r="P17" s="2">
        <v>0.3</v>
      </c>
      <c r="Q17" s="69">
        <f t="shared" si="6"/>
        <v>18885.239999999998</v>
      </c>
      <c r="R17" s="7">
        <v>0.36</v>
      </c>
      <c r="S17" s="69">
        <f t="shared" si="7"/>
        <v>22662.288</v>
      </c>
      <c r="T17" s="21">
        <v>0.2</v>
      </c>
      <c r="U17" s="69">
        <f t="shared" si="8"/>
        <v>12590.16</v>
      </c>
      <c r="V17" s="6">
        <f t="shared" si="15"/>
        <v>10</v>
      </c>
      <c r="W17" s="3" t="s">
        <v>10</v>
      </c>
      <c r="X17" s="80">
        <v>5245.9</v>
      </c>
      <c r="Y17" s="2">
        <v>0.48</v>
      </c>
      <c r="Z17" s="69">
        <f t="shared" si="9"/>
        <v>30216.384</v>
      </c>
      <c r="AA17" s="2">
        <v>0.31</v>
      </c>
      <c r="AB17" s="69">
        <f t="shared" si="10"/>
        <v>19514.748</v>
      </c>
      <c r="AC17" s="21">
        <v>0.2</v>
      </c>
      <c r="AD17" s="69">
        <f t="shared" si="11"/>
        <v>12590.16</v>
      </c>
      <c r="AE17" s="2">
        <v>0.2</v>
      </c>
      <c r="AF17" s="69">
        <f t="shared" si="12"/>
        <v>12590.16</v>
      </c>
      <c r="AG17" s="2"/>
      <c r="AH17" s="17"/>
      <c r="AI17" s="6"/>
      <c r="AJ17" s="2"/>
    </row>
    <row r="18" spans="1:36" ht="12.75">
      <c r="A18" s="6">
        <f t="shared" si="13"/>
        <v>11</v>
      </c>
      <c r="B18" s="6">
        <f t="shared" si="14"/>
        <v>11</v>
      </c>
      <c r="C18" s="3" t="s">
        <v>11</v>
      </c>
      <c r="D18" s="80">
        <v>2679.5</v>
      </c>
      <c r="E18" s="7">
        <f t="shared" si="16"/>
        <v>3.0200000000000005</v>
      </c>
      <c r="F18" s="7">
        <f t="shared" si="0"/>
        <v>3.020000000000001</v>
      </c>
      <c r="G18" s="69">
        <f t="shared" si="1"/>
        <v>97105.08000000002</v>
      </c>
      <c r="H18" s="2">
        <v>0.5</v>
      </c>
      <c r="I18" s="69">
        <f t="shared" si="2"/>
        <v>16077</v>
      </c>
      <c r="J18" s="2">
        <v>0.2</v>
      </c>
      <c r="K18" s="69">
        <f t="shared" si="3"/>
        <v>6430.799999999999</v>
      </c>
      <c r="L18" s="2">
        <v>0.3</v>
      </c>
      <c r="M18" s="69">
        <f t="shared" si="4"/>
        <v>9646.2</v>
      </c>
      <c r="N18" s="2">
        <v>0.1</v>
      </c>
      <c r="O18" s="69">
        <f t="shared" si="5"/>
        <v>3215.3999999999996</v>
      </c>
      <c r="P18" s="2">
        <v>0.3</v>
      </c>
      <c r="Q18" s="69">
        <f t="shared" si="6"/>
        <v>9646.2</v>
      </c>
      <c r="R18" s="7">
        <v>0.36</v>
      </c>
      <c r="S18" s="69">
        <f t="shared" si="7"/>
        <v>11575.44</v>
      </c>
      <c r="T18" s="21">
        <v>0.2</v>
      </c>
      <c r="U18" s="69">
        <f t="shared" si="8"/>
        <v>6430.799999999999</v>
      </c>
      <c r="V18" s="6">
        <f t="shared" si="15"/>
        <v>11</v>
      </c>
      <c r="W18" s="3" t="s">
        <v>11</v>
      </c>
      <c r="X18" s="80">
        <v>2679.5</v>
      </c>
      <c r="Y18" s="2">
        <v>0.4</v>
      </c>
      <c r="Z18" s="69">
        <f t="shared" si="9"/>
        <v>12861.599999999999</v>
      </c>
      <c r="AA18" s="2">
        <v>0.31</v>
      </c>
      <c r="AB18" s="69">
        <f t="shared" si="10"/>
        <v>9967.74</v>
      </c>
      <c r="AC18" s="21">
        <v>0.15</v>
      </c>
      <c r="AD18" s="69">
        <f t="shared" si="11"/>
        <v>4823.1</v>
      </c>
      <c r="AE18" s="2">
        <v>0.2</v>
      </c>
      <c r="AF18" s="69">
        <f t="shared" si="12"/>
        <v>6430.799999999999</v>
      </c>
      <c r="AG18" s="2"/>
      <c r="AH18" s="17"/>
      <c r="AI18" s="6"/>
      <c r="AJ18" s="2"/>
    </row>
    <row r="19" spans="1:36" ht="12.75">
      <c r="A19" s="6">
        <f t="shared" si="13"/>
        <v>12</v>
      </c>
      <c r="B19" s="6">
        <f t="shared" si="14"/>
        <v>12</v>
      </c>
      <c r="C19" s="3" t="s">
        <v>12</v>
      </c>
      <c r="D19" s="80">
        <v>4911.8</v>
      </c>
      <c r="E19" s="7">
        <f t="shared" si="16"/>
        <v>3.16</v>
      </c>
      <c r="F19" s="7">
        <f t="shared" si="0"/>
        <v>3.1600000000000006</v>
      </c>
      <c r="G19" s="69">
        <f t="shared" si="1"/>
        <v>186255.45600000003</v>
      </c>
      <c r="H19" s="2">
        <v>0.53</v>
      </c>
      <c r="I19" s="69">
        <f t="shared" si="2"/>
        <v>31239.048000000003</v>
      </c>
      <c r="J19" s="2">
        <v>0.2</v>
      </c>
      <c r="K19" s="69">
        <f t="shared" si="3"/>
        <v>11788.320000000002</v>
      </c>
      <c r="L19" s="2">
        <v>0.3</v>
      </c>
      <c r="M19" s="69">
        <f t="shared" si="4"/>
        <v>17682.48</v>
      </c>
      <c r="N19" s="2">
        <v>0.2</v>
      </c>
      <c r="O19" s="69">
        <f t="shared" si="5"/>
        <v>11788.320000000002</v>
      </c>
      <c r="P19" s="2">
        <v>0.3</v>
      </c>
      <c r="Q19" s="69">
        <f t="shared" si="6"/>
        <v>17682.48</v>
      </c>
      <c r="R19" s="7">
        <v>0.36</v>
      </c>
      <c r="S19" s="69">
        <f t="shared" si="7"/>
        <v>21218.976000000002</v>
      </c>
      <c r="T19" s="21">
        <v>0.15</v>
      </c>
      <c r="U19" s="69">
        <f t="shared" si="8"/>
        <v>8841.24</v>
      </c>
      <c r="V19" s="6">
        <f t="shared" si="15"/>
        <v>12</v>
      </c>
      <c r="W19" s="3" t="s">
        <v>12</v>
      </c>
      <c r="X19" s="80">
        <v>4911.8</v>
      </c>
      <c r="Y19" s="2">
        <v>0.4</v>
      </c>
      <c r="Z19" s="69">
        <f t="shared" si="9"/>
        <v>23576.640000000003</v>
      </c>
      <c r="AA19" s="2">
        <v>0.32</v>
      </c>
      <c r="AB19" s="69">
        <f t="shared" si="10"/>
        <v>18861.312</v>
      </c>
      <c r="AC19" s="21">
        <v>0.2</v>
      </c>
      <c r="AD19" s="69">
        <f t="shared" si="11"/>
        <v>11788.320000000002</v>
      </c>
      <c r="AE19" s="2">
        <v>0.2</v>
      </c>
      <c r="AF19" s="69">
        <f t="shared" si="12"/>
        <v>11788.320000000002</v>
      </c>
      <c r="AG19" s="2"/>
      <c r="AH19" s="17"/>
      <c r="AI19" s="6"/>
      <c r="AJ19" s="2"/>
    </row>
    <row r="20" spans="1:36" ht="12.75">
      <c r="A20" s="6">
        <f t="shared" si="13"/>
        <v>13</v>
      </c>
      <c r="B20" s="6">
        <f t="shared" si="14"/>
        <v>13</v>
      </c>
      <c r="C20" s="3" t="s">
        <v>13</v>
      </c>
      <c r="D20" s="80">
        <v>2667.6</v>
      </c>
      <c r="E20" s="7">
        <f t="shared" si="16"/>
        <v>3.0200000000000005</v>
      </c>
      <c r="F20" s="7">
        <f t="shared" si="0"/>
        <v>3.02</v>
      </c>
      <c r="G20" s="69">
        <f t="shared" si="1"/>
        <v>96673.82400000001</v>
      </c>
      <c r="H20" s="2">
        <v>0.5</v>
      </c>
      <c r="I20" s="69">
        <f t="shared" si="2"/>
        <v>16005.599999999999</v>
      </c>
      <c r="J20" s="2">
        <v>0.2</v>
      </c>
      <c r="K20" s="69">
        <f t="shared" si="3"/>
        <v>6402.24</v>
      </c>
      <c r="L20" s="2">
        <v>0.3</v>
      </c>
      <c r="M20" s="69">
        <f t="shared" si="4"/>
        <v>9603.36</v>
      </c>
      <c r="N20" s="2">
        <v>0.1</v>
      </c>
      <c r="O20" s="69">
        <f t="shared" si="5"/>
        <v>3201.12</v>
      </c>
      <c r="P20" s="2">
        <v>0.3</v>
      </c>
      <c r="Q20" s="69">
        <f t="shared" si="6"/>
        <v>9603.36</v>
      </c>
      <c r="R20" s="7">
        <v>0.36</v>
      </c>
      <c r="S20" s="69">
        <f t="shared" si="7"/>
        <v>11524.032</v>
      </c>
      <c r="T20" s="21">
        <v>0.2</v>
      </c>
      <c r="U20" s="69">
        <f t="shared" si="8"/>
        <v>6402.24</v>
      </c>
      <c r="V20" s="6">
        <f t="shared" si="15"/>
        <v>13</v>
      </c>
      <c r="W20" s="3" t="s">
        <v>13</v>
      </c>
      <c r="X20" s="80">
        <v>2667.6</v>
      </c>
      <c r="Y20" s="2">
        <v>0.35</v>
      </c>
      <c r="Z20" s="69">
        <f t="shared" si="9"/>
        <v>11203.919999999998</v>
      </c>
      <c r="AA20" s="2">
        <v>0.31</v>
      </c>
      <c r="AB20" s="69">
        <f t="shared" si="10"/>
        <v>9923.472</v>
      </c>
      <c r="AC20" s="21">
        <v>0.2</v>
      </c>
      <c r="AD20" s="69">
        <f t="shared" si="11"/>
        <v>6402.24</v>
      </c>
      <c r="AE20" s="2">
        <v>0.2</v>
      </c>
      <c r="AF20" s="69">
        <f t="shared" si="12"/>
        <v>6402.24</v>
      </c>
      <c r="AG20" s="2"/>
      <c r="AH20" s="17"/>
      <c r="AI20" s="6"/>
      <c r="AJ20" s="2"/>
    </row>
    <row r="21" spans="1:36" ht="12.75">
      <c r="A21" s="6">
        <f t="shared" si="13"/>
        <v>14</v>
      </c>
      <c r="B21" s="6">
        <f t="shared" si="14"/>
        <v>14</v>
      </c>
      <c r="C21" s="3" t="s">
        <v>14</v>
      </c>
      <c r="D21" s="80">
        <v>2631.6</v>
      </c>
      <c r="E21" s="7">
        <f t="shared" si="16"/>
        <v>2.9200000000000004</v>
      </c>
      <c r="F21" s="7">
        <f t="shared" si="0"/>
        <v>2.9199999999999995</v>
      </c>
      <c r="G21" s="69">
        <f t="shared" si="1"/>
        <v>92211.26399999998</v>
      </c>
      <c r="H21" s="2">
        <v>0.42</v>
      </c>
      <c r="I21" s="69">
        <f t="shared" si="2"/>
        <v>13263.264</v>
      </c>
      <c r="J21" s="2">
        <v>0.2</v>
      </c>
      <c r="K21" s="69">
        <f t="shared" si="3"/>
        <v>6315.84</v>
      </c>
      <c r="L21" s="2">
        <v>0.3</v>
      </c>
      <c r="M21" s="69">
        <f t="shared" si="4"/>
        <v>9473.759999999998</v>
      </c>
      <c r="N21" s="2">
        <v>0.1</v>
      </c>
      <c r="O21" s="69">
        <f t="shared" si="5"/>
        <v>3157.92</v>
      </c>
      <c r="P21" s="2">
        <v>0.3</v>
      </c>
      <c r="Q21" s="69">
        <f t="shared" si="6"/>
        <v>9473.759999999998</v>
      </c>
      <c r="R21" s="7">
        <v>0.36</v>
      </c>
      <c r="S21" s="69">
        <f t="shared" si="7"/>
        <v>11368.511999999999</v>
      </c>
      <c r="T21" s="21">
        <v>0.2</v>
      </c>
      <c r="U21" s="69">
        <f t="shared" si="8"/>
        <v>6315.84</v>
      </c>
      <c r="V21" s="6">
        <f t="shared" si="15"/>
        <v>14</v>
      </c>
      <c r="W21" s="3" t="s">
        <v>14</v>
      </c>
      <c r="X21" s="80">
        <v>2631.6</v>
      </c>
      <c r="Y21" s="2">
        <v>0.42</v>
      </c>
      <c r="Z21" s="69">
        <f t="shared" si="9"/>
        <v>13263.264</v>
      </c>
      <c r="AA21" s="2">
        <v>0.32</v>
      </c>
      <c r="AB21" s="69">
        <f t="shared" si="10"/>
        <v>10105.344</v>
      </c>
      <c r="AC21" s="21">
        <v>0.1</v>
      </c>
      <c r="AD21" s="69">
        <f t="shared" si="11"/>
        <v>3157.92</v>
      </c>
      <c r="AE21" s="2">
        <v>0.2</v>
      </c>
      <c r="AF21" s="69">
        <f t="shared" si="12"/>
        <v>6315.84</v>
      </c>
      <c r="AG21" s="2"/>
      <c r="AH21" s="17"/>
      <c r="AI21" s="6"/>
      <c r="AJ21" s="2"/>
    </row>
    <row r="22" spans="1:36" ht="12.75">
      <c r="A22" s="6">
        <f t="shared" si="13"/>
        <v>15</v>
      </c>
      <c r="B22" s="6">
        <f t="shared" si="14"/>
        <v>15</v>
      </c>
      <c r="C22" s="3" t="s">
        <v>117</v>
      </c>
      <c r="D22" s="80">
        <v>2154.4</v>
      </c>
      <c r="E22" s="7">
        <f t="shared" si="16"/>
        <v>2.0700000000000003</v>
      </c>
      <c r="F22" s="7">
        <f t="shared" si="0"/>
        <v>2.07</v>
      </c>
      <c r="G22" s="69">
        <f t="shared" si="1"/>
        <v>53515.295999999995</v>
      </c>
      <c r="H22" s="2">
        <v>0.21</v>
      </c>
      <c r="I22" s="69">
        <f t="shared" si="2"/>
        <v>5429.088</v>
      </c>
      <c r="J22" s="6">
        <v>0.1</v>
      </c>
      <c r="K22" s="69">
        <f t="shared" si="3"/>
        <v>2585.28</v>
      </c>
      <c r="L22" s="6">
        <v>0.4</v>
      </c>
      <c r="M22" s="69">
        <f t="shared" si="4"/>
        <v>10341.12</v>
      </c>
      <c r="N22" s="6">
        <v>0</v>
      </c>
      <c r="O22" s="69">
        <f t="shared" si="5"/>
        <v>0</v>
      </c>
      <c r="P22" s="6">
        <v>0.2</v>
      </c>
      <c r="Q22" s="69">
        <f t="shared" si="6"/>
        <v>5170.56</v>
      </c>
      <c r="R22" s="7">
        <v>0.36</v>
      </c>
      <c r="S22" s="69">
        <f t="shared" si="7"/>
        <v>9307.008000000002</v>
      </c>
      <c r="T22" s="7">
        <v>0.1</v>
      </c>
      <c r="U22" s="69">
        <f t="shared" si="8"/>
        <v>2585.28</v>
      </c>
      <c r="V22" s="6">
        <f t="shared" si="15"/>
        <v>15</v>
      </c>
      <c r="W22" s="3" t="s">
        <v>117</v>
      </c>
      <c r="X22" s="80">
        <v>2154.4</v>
      </c>
      <c r="Y22" s="6">
        <v>0.21</v>
      </c>
      <c r="Z22" s="69">
        <f t="shared" si="9"/>
        <v>5429.088</v>
      </c>
      <c r="AA22" s="2">
        <v>0.29</v>
      </c>
      <c r="AB22" s="69">
        <f t="shared" si="10"/>
        <v>7497.312</v>
      </c>
      <c r="AC22" s="7">
        <v>0.1</v>
      </c>
      <c r="AD22" s="69">
        <f t="shared" si="11"/>
        <v>2585.28</v>
      </c>
      <c r="AE22" s="6">
        <v>0.1</v>
      </c>
      <c r="AF22" s="69">
        <f t="shared" si="12"/>
        <v>2585.28</v>
      </c>
      <c r="AG22" s="2"/>
      <c r="AH22" s="17"/>
      <c r="AI22" s="6"/>
      <c r="AJ22" s="2"/>
    </row>
    <row r="23" spans="1:36" ht="12.75">
      <c r="A23" s="6">
        <f t="shared" si="13"/>
        <v>16</v>
      </c>
      <c r="B23" s="6">
        <f t="shared" si="14"/>
        <v>16</v>
      </c>
      <c r="C23" s="3" t="s">
        <v>15</v>
      </c>
      <c r="D23" s="80">
        <v>4480.6</v>
      </c>
      <c r="E23" s="7">
        <f t="shared" si="16"/>
        <v>3.3300000000000005</v>
      </c>
      <c r="F23" s="7">
        <f t="shared" si="0"/>
        <v>3.33</v>
      </c>
      <c r="G23" s="69">
        <f t="shared" si="1"/>
        <v>179044.776</v>
      </c>
      <c r="H23" s="2">
        <v>0.49</v>
      </c>
      <c r="I23" s="69">
        <f t="shared" si="2"/>
        <v>26345.928</v>
      </c>
      <c r="J23" s="2">
        <v>0.2</v>
      </c>
      <c r="K23" s="69">
        <f t="shared" si="3"/>
        <v>10753.440000000002</v>
      </c>
      <c r="L23" s="2">
        <v>0.3</v>
      </c>
      <c r="M23" s="69">
        <f t="shared" si="4"/>
        <v>16130.16</v>
      </c>
      <c r="N23" s="2">
        <v>0.2</v>
      </c>
      <c r="O23" s="69">
        <f t="shared" si="5"/>
        <v>10753.440000000002</v>
      </c>
      <c r="P23" s="2">
        <v>0.3</v>
      </c>
      <c r="Q23" s="69">
        <f t="shared" si="6"/>
        <v>16130.16</v>
      </c>
      <c r="R23" s="7">
        <v>0.36</v>
      </c>
      <c r="S23" s="69">
        <f t="shared" si="7"/>
        <v>19356.192000000003</v>
      </c>
      <c r="T23" s="21">
        <v>0.2</v>
      </c>
      <c r="U23" s="69">
        <f t="shared" si="8"/>
        <v>10753.440000000002</v>
      </c>
      <c r="V23" s="6">
        <f t="shared" si="15"/>
        <v>16</v>
      </c>
      <c r="W23" s="3" t="s">
        <v>15</v>
      </c>
      <c r="X23" s="80">
        <v>4480.6</v>
      </c>
      <c r="Y23" s="2">
        <v>0.57</v>
      </c>
      <c r="Z23" s="69">
        <f t="shared" si="9"/>
        <v>30647.304</v>
      </c>
      <c r="AA23" s="2">
        <v>0.31</v>
      </c>
      <c r="AB23" s="69">
        <f t="shared" si="10"/>
        <v>16667.832000000002</v>
      </c>
      <c r="AC23" s="21">
        <v>0.2</v>
      </c>
      <c r="AD23" s="69">
        <f t="shared" si="11"/>
        <v>10753.440000000002</v>
      </c>
      <c r="AE23" s="2">
        <v>0.2</v>
      </c>
      <c r="AF23" s="69">
        <f t="shared" si="12"/>
        <v>10753.440000000002</v>
      </c>
      <c r="AG23" s="2"/>
      <c r="AH23" s="17"/>
      <c r="AI23" s="6"/>
      <c r="AJ23" s="2"/>
    </row>
    <row r="24" spans="1:36" ht="12.75">
      <c r="A24" s="6">
        <f t="shared" si="13"/>
        <v>17</v>
      </c>
      <c r="B24" s="6">
        <f t="shared" si="14"/>
        <v>17</v>
      </c>
      <c r="C24" s="3" t="s">
        <v>16</v>
      </c>
      <c r="D24" s="80">
        <v>3376.3</v>
      </c>
      <c r="E24" s="7">
        <f t="shared" si="16"/>
        <v>3.0500000000000003</v>
      </c>
      <c r="F24" s="7">
        <f t="shared" si="0"/>
        <v>3.0499999999999994</v>
      </c>
      <c r="G24" s="69">
        <f t="shared" si="1"/>
        <v>123572.57999999999</v>
      </c>
      <c r="H24" s="2">
        <v>0.5</v>
      </c>
      <c r="I24" s="69">
        <f t="shared" si="2"/>
        <v>20257.800000000003</v>
      </c>
      <c r="J24" s="6">
        <v>0.2</v>
      </c>
      <c r="K24" s="69">
        <f t="shared" si="3"/>
        <v>8103.120000000001</v>
      </c>
      <c r="L24" s="6">
        <v>0.3</v>
      </c>
      <c r="M24" s="69">
        <f t="shared" si="4"/>
        <v>12154.68</v>
      </c>
      <c r="N24" s="6">
        <v>0.2</v>
      </c>
      <c r="O24" s="69">
        <f t="shared" si="5"/>
        <v>8103.120000000001</v>
      </c>
      <c r="P24" s="6">
        <v>0.3</v>
      </c>
      <c r="Q24" s="69">
        <f t="shared" si="6"/>
        <v>12154.68</v>
      </c>
      <c r="R24" s="7">
        <v>0.36</v>
      </c>
      <c r="S24" s="69">
        <f t="shared" si="7"/>
        <v>14585.616000000002</v>
      </c>
      <c r="T24" s="7">
        <v>0.15</v>
      </c>
      <c r="U24" s="69">
        <f t="shared" si="8"/>
        <v>6077.34</v>
      </c>
      <c r="V24" s="6">
        <f t="shared" si="15"/>
        <v>17</v>
      </c>
      <c r="W24" s="3" t="s">
        <v>16</v>
      </c>
      <c r="X24" s="80">
        <v>3376.3</v>
      </c>
      <c r="Y24" s="6">
        <v>0.35</v>
      </c>
      <c r="Z24" s="69">
        <f t="shared" si="9"/>
        <v>14180.46</v>
      </c>
      <c r="AA24" s="2">
        <v>0.29</v>
      </c>
      <c r="AB24" s="69">
        <f t="shared" si="10"/>
        <v>11749.524</v>
      </c>
      <c r="AC24" s="7">
        <v>0.2</v>
      </c>
      <c r="AD24" s="69">
        <f t="shared" si="11"/>
        <v>8103.120000000001</v>
      </c>
      <c r="AE24" s="6">
        <v>0.2</v>
      </c>
      <c r="AF24" s="69">
        <f t="shared" si="12"/>
        <v>8103.120000000001</v>
      </c>
      <c r="AG24" s="2"/>
      <c r="AH24" s="17"/>
      <c r="AI24" s="6"/>
      <c r="AJ24" s="2"/>
    </row>
    <row r="25" spans="1:36" ht="12.75">
      <c r="A25" s="6">
        <f t="shared" si="13"/>
        <v>18</v>
      </c>
      <c r="B25" s="6">
        <f t="shared" si="14"/>
        <v>18</v>
      </c>
      <c r="C25" s="3" t="s">
        <v>17</v>
      </c>
      <c r="D25" s="80">
        <v>3348.3</v>
      </c>
      <c r="E25" s="7">
        <f t="shared" si="16"/>
        <v>2.69</v>
      </c>
      <c r="F25" s="7">
        <f t="shared" si="0"/>
        <v>2.69</v>
      </c>
      <c r="G25" s="69">
        <f t="shared" si="1"/>
        <v>108083.12400000001</v>
      </c>
      <c r="H25" s="2">
        <v>0.41</v>
      </c>
      <c r="I25" s="69">
        <f t="shared" si="2"/>
        <v>16473.636</v>
      </c>
      <c r="J25" s="2">
        <v>0.2</v>
      </c>
      <c r="K25" s="69">
        <f t="shared" si="3"/>
        <v>8035.920000000001</v>
      </c>
      <c r="L25" s="2">
        <v>0.3</v>
      </c>
      <c r="M25" s="69">
        <f t="shared" si="4"/>
        <v>12053.880000000001</v>
      </c>
      <c r="N25" s="2">
        <v>0.1</v>
      </c>
      <c r="O25" s="69">
        <f t="shared" si="5"/>
        <v>4017.9600000000005</v>
      </c>
      <c r="P25" s="2">
        <v>0.2</v>
      </c>
      <c r="Q25" s="69">
        <f t="shared" si="6"/>
        <v>8035.920000000001</v>
      </c>
      <c r="R25" s="7">
        <v>0.36</v>
      </c>
      <c r="S25" s="69">
        <f t="shared" si="7"/>
        <v>14464.655999999999</v>
      </c>
      <c r="T25" s="21">
        <v>0.15</v>
      </c>
      <c r="U25" s="69">
        <f t="shared" si="8"/>
        <v>6026.9400000000005</v>
      </c>
      <c r="V25" s="6">
        <f t="shared" si="15"/>
        <v>18</v>
      </c>
      <c r="W25" s="3" t="s">
        <v>17</v>
      </c>
      <c r="X25" s="80">
        <v>3348.3</v>
      </c>
      <c r="Y25" s="2">
        <v>0.38</v>
      </c>
      <c r="Z25" s="69">
        <f t="shared" si="9"/>
        <v>15268.248</v>
      </c>
      <c r="AA25" s="2">
        <v>0.29</v>
      </c>
      <c r="AB25" s="69">
        <f t="shared" si="10"/>
        <v>11652.083999999999</v>
      </c>
      <c r="AC25" s="21">
        <v>0.2</v>
      </c>
      <c r="AD25" s="69">
        <f t="shared" si="11"/>
        <v>8035.920000000001</v>
      </c>
      <c r="AE25" s="2">
        <v>0.1</v>
      </c>
      <c r="AF25" s="69">
        <f t="shared" si="12"/>
        <v>4017.9600000000005</v>
      </c>
      <c r="AG25" s="2"/>
      <c r="AH25" s="17"/>
      <c r="AI25" s="6"/>
      <c r="AJ25" s="2"/>
    </row>
    <row r="26" spans="1:36" ht="12.75">
      <c r="A26" s="6">
        <f t="shared" si="13"/>
        <v>19</v>
      </c>
      <c r="B26" s="6">
        <f t="shared" si="14"/>
        <v>19</v>
      </c>
      <c r="C26" s="3" t="s">
        <v>18</v>
      </c>
      <c r="D26" s="80">
        <v>2654.8</v>
      </c>
      <c r="E26" s="7">
        <f t="shared" si="16"/>
        <v>2.04</v>
      </c>
      <c r="F26" s="7">
        <f t="shared" si="0"/>
        <v>2.0400000000000005</v>
      </c>
      <c r="G26" s="69">
        <f t="shared" si="1"/>
        <v>64989.504000000015</v>
      </c>
      <c r="H26" s="2">
        <v>0.38</v>
      </c>
      <c r="I26" s="69">
        <f t="shared" si="2"/>
        <v>12105.888</v>
      </c>
      <c r="J26" s="6">
        <v>0.1</v>
      </c>
      <c r="K26" s="69">
        <f t="shared" si="3"/>
        <v>3185.76</v>
      </c>
      <c r="L26" s="6">
        <v>0.1</v>
      </c>
      <c r="M26" s="69">
        <f t="shared" si="4"/>
        <v>3185.76</v>
      </c>
      <c r="N26" s="6"/>
      <c r="O26" s="69">
        <f t="shared" si="5"/>
        <v>0</v>
      </c>
      <c r="P26" s="6">
        <v>0.2</v>
      </c>
      <c r="Q26" s="69">
        <f t="shared" si="6"/>
        <v>6371.52</v>
      </c>
      <c r="R26" s="7">
        <v>0.36</v>
      </c>
      <c r="S26" s="69">
        <f t="shared" si="7"/>
        <v>11468.736</v>
      </c>
      <c r="T26" s="7">
        <v>0.1</v>
      </c>
      <c r="U26" s="69">
        <f t="shared" si="8"/>
        <v>3185.76</v>
      </c>
      <c r="V26" s="6">
        <f t="shared" si="15"/>
        <v>19</v>
      </c>
      <c r="W26" s="3" t="s">
        <v>18</v>
      </c>
      <c r="X26" s="80">
        <v>2654.8</v>
      </c>
      <c r="Y26" s="6">
        <v>0.21</v>
      </c>
      <c r="Z26" s="69">
        <f t="shared" si="9"/>
        <v>6690.0960000000005</v>
      </c>
      <c r="AA26" s="2">
        <v>0.29</v>
      </c>
      <c r="AB26" s="69">
        <f t="shared" si="10"/>
        <v>9238.704000000002</v>
      </c>
      <c r="AC26" s="7">
        <v>0.2</v>
      </c>
      <c r="AD26" s="69">
        <f t="shared" si="11"/>
        <v>6371.52</v>
      </c>
      <c r="AE26" s="6">
        <v>0.1</v>
      </c>
      <c r="AF26" s="69">
        <f t="shared" si="12"/>
        <v>3185.76</v>
      </c>
      <c r="AG26" s="2"/>
      <c r="AH26" s="17"/>
      <c r="AI26" s="6"/>
      <c r="AJ26" s="2"/>
    </row>
    <row r="27" spans="1:36" ht="12.75">
      <c r="A27" s="6">
        <f t="shared" si="13"/>
        <v>20</v>
      </c>
      <c r="B27" s="6">
        <f t="shared" si="14"/>
        <v>20</v>
      </c>
      <c r="C27" s="3" t="s">
        <v>19</v>
      </c>
      <c r="D27" s="80">
        <v>2631.7</v>
      </c>
      <c r="E27" s="7">
        <f t="shared" si="16"/>
        <v>2.76</v>
      </c>
      <c r="F27" s="7">
        <f t="shared" si="0"/>
        <v>2.76</v>
      </c>
      <c r="G27" s="69">
        <f t="shared" si="1"/>
        <v>87161.90399999998</v>
      </c>
      <c r="H27" s="2">
        <v>0.46</v>
      </c>
      <c r="I27" s="69">
        <f t="shared" si="2"/>
        <v>14526.983999999999</v>
      </c>
      <c r="J27" s="2">
        <v>0.2</v>
      </c>
      <c r="K27" s="69">
        <f t="shared" si="3"/>
        <v>6316.08</v>
      </c>
      <c r="L27" s="2">
        <v>0.3</v>
      </c>
      <c r="M27" s="69">
        <f t="shared" si="4"/>
        <v>9474.119999999999</v>
      </c>
      <c r="N27" s="2">
        <v>0.2</v>
      </c>
      <c r="O27" s="69">
        <f t="shared" si="5"/>
        <v>6316.08</v>
      </c>
      <c r="P27" s="2">
        <v>0.3</v>
      </c>
      <c r="Q27" s="69">
        <f t="shared" si="6"/>
        <v>9474.119999999999</v>
      </c>
      <c r="R27" s="7">
        <v>0.36</v>
      </c>
      <c r="S27" s="69">
        <f t="shared" si="7"/>
        <v>11368.944</v>
      </c>
      <c r="T27" s="21">
        <v>0.1</v>
      </c>
      <c r="U27" s="69">
        <f t="shared" si="8"/>
        <v>3158.04</v>
      </c>
      <c r="V27" s="6">
        <f t="shared" si="15"/>
        <v>20</v>
      </c>
      <c r="W27" s="3" t="s">
        <v>19</v>
      </c>
      <c r="X27" s="80">
        <v>2631.7</v>
      </c>
      <c r="Y27" s="2">
        <v>0.3</v>
      </c>
      <c r="Z27" s="69">
        <f t="shared" si="9"/>
        <v>9474.119999999999</v>
      </c>
      <c r="AA27" s="2">
        <v>0.29</v>
      </c>
      <c r="AB27" s="69">
        <f t="shared" si="10"/>
        <v>9158.315999999999</v>
      </c>
      <c r="AC27" s="21">
        <v>0.15</v>
      </c>
      <c r="AD27" s="69">
        <f t="shared" si="11"/>
        <v>4737.0599999999995</v>
      </c>
      <c r="AE27" s="2">
        <v>0.1</v>
      </c>
      <c r="AF27" s="69">
        <f t="shared" si="12"/>
        <v>3158.04</v>
      </c>
      <c r="AG27" s="2"/>
      <c r="AH27" s="17"/>
      <c r="AI27" s="6"/>
      <c r="AJ27" s="2"/>
    </row>
    <row r="28" spans="1:36" ht="12.75">
      <c r="A28" s="6">
        <f t="shared" si="13"/>
        <v>21</v>
      </c>
      <c r="B28" s="6">
        <f t="shared" si="14"/>
        <v>21</v>
      </c>
      <c r="C28" s="3" t="s">
        <v>20</v>
      </c>
      <c r="D28" s="168">
        <v>2631</v>
      </c>
      <c r="E28" s="7">
        <f t="shared" si="16"/>
        <v>2.52</v>
      </c>
      <c r="F28" s="7">
        <f t="shared" si="0"/>
        <v>2.52</v>
      </c>
      <c r="G28" s="69">
        <f t="shared" si="1"/>
        <v>79561.44</v>
      </c>
      <c r="H28" s="2">
        <v>0.54</v>
      </c>
      <c r="I28" s="69">
        <f t="shared" si="2"/>
        <v>17048.88</v>
      </c>
      <c r="J28" s="6">
        <v>0.2</v>
      </c>
      <c r="K28" s="69">
        <f t="shared" si="3"/>
        <v>6314.400000000001</v>
      </c>
      <c r="L28" s="6">
        <v>0.2</v>
      </c>
      <c r="M28" s="69">
        <f t="shared" si="4"/>
        <v>6314.400000000001</v>
      </c>
      <c r="N28" s="6"/>
      <c r="O28" s="69">
        <f t="shared" si="5"/>
        <v>0</v>
      </c>
      <c r="P28" s="6">
        <v>0.2</v>
      </c>
      <c r="Q28" s="69">
        <f t="shared" si="6"/>
        <v>6314.400000000001</v>
      </c>
      <c r="R28" s="7">
        <v>0.36</v>
      </c>
      <c r="S28" s="69">
        <f t="shared" si="7"/>
        <v>11365.92</v>
      </c>
      <c r="T28" s="7">
        <v>0.1</v>
      </c>
      <c r="U28" s="69">
        <f t="shared" si="8"/>
        <v>3157.2000000000003</v>
      </c>
      <c r="V28" s="6">
        <f t="shared" si="15"/>
        <v>21</v>
      </c>
      <c r="W28" s="3" t="s">
        <v>20</v>
      </c>
      <c r="X28" s="168">
        <v>2631</v>
      </c>
      <c r="Y28" s="6">
        <v>0.37</v>
      </c>
      <c r="Z28" s="69">
        <f t="shared" si="9"/>
        <v>11681.64</v>
      </c>
      <c r="AA28" s="2">
        <v>0.3</v>
      </c>
      <c r="AB28" s="69">
        <f t="shared" si="10"/>
        <v>9471.599999999999</v>
      </c>
      <c r="AC28" s="7">
        <v>0.15</v>
      </c>
      <c r="AD28" s="69">
        <f t="shared" si="11"/>
        <v>4735.799999999999</v>
      </c>
      <c r="AE28" s="6">
        <v>0.1</v>
      </c>
      <c r="AF28" s="69">
        <f t="shared" si="12"/>
        <v>3157.2000000000003</v>
      </c>
      <c r="AG28" s="2"/>
      <c r="AH28" s="17"/>
      <c r="AI28" s="6"/>
      <c r="AJ28" s="2"/>
    </row>
    <row r="29" spans="1:36" ht="12.75">
      <c r="A29" s="6">
        <f t="shared" si="13"/>
        <v>22</v>
      </c>
      <c r="B29" s="6">
        <f t="shared" si="14"/>
        <v>22</v>
      </c>
      <c r="C29" s="3" t="s">
        <v>21</v>
      </c>
      <c r="D29" s="80">
        <v>2678.4</v>
      </c>
      <c r="E29" s="7">
        <f t="shared" si="16"/>
        <v>2.6</v>
      </c>
      <c r="F29" s="7">
        <f t="shared" si="0"/>
        <v>2.6</v>
      </c>
      <c r="G29" s="69">
        <f t="shared" si="1"/>
        <v>83566.08</v>
      </c>
      <c r="H29" s="2">
        <v>0.4</v>
      </c>
      <c r="I29" s="69">
        <f t="shared" si="2"/>
        <v>12856.320000000002</v>
      </c>
      <c r="J29" s="6">
        <v>0.15</v>
      </c>
      <c r="K29" s="69">
        <f t="shared" si="3"/>
        <v>4821.12</v>
      </c>
      <c r="L29" s="6">
        <v>0.3</v>
      </c>
      <c r="M29" s="69">
        <f t="shared" si="4"/>
        <v>9642.24</v>
      </c>
      <c r="N29" s="6">
        <v>0.2</v>
      </c>
      <c r="O29" s="69">
        <f t="shared" si="5"/>
        <v>6428.160000000001</v>
      </c>
      <c r="P29" s="6">
        <v>0.2</v>
      </c>
      <c r="Q29" s="69">
        <f t="shared" si="6"/>
        <v>6428.160000000001</v>
      </c>
      <c r="R29" s="7">
        <v>0.36</v>
      </c>
      <c r="S29" s="69">
        <f t="shared" si="7"/>
        <v>11570.688</v>
      </c>
      <c r="T29" s="7">
        <v>0.1</v>
      </c>
      <c r="U29" s="69">
        <f t="shared" si="8"/>
        <v>3214.0800000000004</v>
      </c>
      <c r="V29" s="6">
        <f t="shared" si="15"/>
        <v>22</v>
      </c>
      <c r="W29" s="3" t="s">
        <v>21</v>
      </c>
      <c r="X29" s="80">
        <v>2678.4</v>
      </c>
      <c r="Y29" s="6">
        <v>0.35</v>
      </c>
      <c r="Z29" s="69">
        <f t="shared" si="9"/>
        <v>11249.279999999999</v>
      </c>
      <c r="AA29" s="2">
        <v>0.29</v>
      </c>
      <c r="AB29" s="69">
        <f t="shared" si="10"/>
        <v>9320.832</v>
      </c>
      <c r="AC29" s="7">
        <v>0.15</v>
      </c>
      <c r="AD29" s="69">
        <f t="shared" si="11"/>
        <v>4821.12</v>
      </c>
      <c r="AE29" s="6">
        <v>0.1</v>
      </c>
      <c r="AF29" s="69">
        <f t="shared" si="12"/>
        <v>3214.0800000000004</v>
      </c>
      <c r="AG29" s="2"/>
      <c r="AH29" s="17"/>
      <c r="AI29" s="6"/>
      <c r="AJ29" s="2"/>
    </row>
    <row r="30" spans="1:36" ht="12.75">
      <c r="A30" s="6">
        <f t="shared" si="13"/>
        <v>23</v>
      </c>
      <c r="B30" s="6">
        <f t="shared" si="14"/>
        <v>23</v>
      </c>
      <c r="C30" s="3" t="s">
        <v>22</v>
      </c>
      <c r="D30" s="168">
        <v>6129.3</v>
      </c>
      <c r="E30" s="7">
        <f t="shared" si="16"/>
        <v>2.66</v>
      </c>
      <c r="F30" s="7">
        <f t="shared" si="0"/>
        <v>2.66</v>
      </c>
      <c r="G30" s="69">
        <f t="shared" si="1"/>
        <v>195647.25600000002</v>
      </c>
      <c r="H30" s="2">
        <v>0.4</v>
      </c>
      <c r="I30" s="69">
        <f t="shared" si="2"/>
        <v>29420.640000000003</v>
      </c>
      <c r="J30" s="6">
        <v>0.2</v>
      </c>
      <c r="K30" s="69">
        <f t="shared" si="3"/>
        <v>14710.320000000002</v>
      </c>
      <c r="L30" s="6">
        <v>0.3</v>
      </c>
      <c r="M30" s="69">
        <f t="shared" si="4"/>
        <v>22065.48</v>
      </c>
      <c r="N30" s="6">
        <v>0.2</v>
      </c>
      <c r="O30" s="69">
        <f t="shared" si="5"/>
        <v>14710.320000000002</v>
      </c>
      <c r="P30" s="6">
        <v>0.2</v>
      </c>
      <c r="Q30" s="69">
        <f t="shared" si="6"/>
        <v>14710.320000000002</v>
      </c>
      <c r="R30" s="7">
        <v>0.36</v>
      </c>
      <c r="S30" s="69">
        <f t="shared" si="7"/>
        <v>26478.575999999997</v>
      </c>
      <c r="T30" s="7">
        <v>0.1</v>
      </c>
      <c r="U30" s="69">
        <f t="shared" si="8"/>
        <v>7355.160000000001</v>
      </c>
      <c r="V30" s="6">
        <f t="shared" si="15"/>
        <v>23</v>
      </c>
      <c r="W30" s="3" t="s">
        <v>22</v>
      </c>
      <c r="X30" s="168">
        <v>6129.3</v>
      </c>
      <c r="Y30" s="6">
        <v>0.36</v>
      </c>
      <c r="Z30" s="69">
        <f t="shared" si="9"/>
        <v>26478.575999999997</v>
      </c>
      <c r="AA30" s="2">
        <v>0.29</v>
      </c>
      <c r="AB30" s="69">
        <f t="shared" si="10"/>
        <v>21329.964</v>
      </c>
      <c r="AC30" s="7">
        <v>0.15</v>
      </c>
      <c r="AD30" s="69">
        <f t="shared" si="11"/>
        <v>11032.74</v>
      </c>
      <c r="AE30" s="6">
        <v>0.1</v>
      </c>
      <c r="AF30" s="69">
        <f t="shared" si="12"/>
        <v>7355.160000000001</v>
      </c>
      <c r="AG30" s="2"/>
      <c r="AH30" s="17"/>
      <c r="AI30" s="6"/>
      <c r="AJ30" s="2"/>
    </row>
    <row r="31" spans="1:36" ht="12.75">
      <c r="A31" s="6">
        <f t="shared" si="13"/>
        <v>24</v>
      </c>
      <c r="B31" s="6">
        <f t="shared" si="14"/>
        <v>24</v>
      </c>
      <c r="C31" s="3" t="s">
        <v>232</v>
      </c>
      <c r="D31" s="43">
        <v>2386.3</v>
      </c>
      <c r="E31" s="7">
        <f t="shared" si="16"/>
        <v>4</v>
      </c>
      <c r="F31" s="7">
        <f t="shared" si="0"/>
        <v>3.9999999999999996</v>
      </c>
      <c r="G31" s="69">
        <f t="shared" si="1"/>
        <v>114542.4</v>
      </c>
      <c r="H31" s="6">
        <v>0.28</v>
      </c>
      <c r="I31" s="69">
        <f t="shared" si="2"/>
        <v>8017.968000000001</v>
      </c>
      <c r="J31" s="6">
        <v>0.22</v>
      </c>
      <c r="K31" s="69">
        <f t="shared" si="3"/>
        <v>6299.832</v>
      </c>
      <c r="L31" s="6">
        <v>0.39</v>
      </c>
      <c r="M31" s="69">
        <f t="shared" si="4"/>
        <v>11167.884000000002</v>
      </c>
      <c r="N31" s="6">
        <v>0.1</v>
      </c>
      <c r="O31" s="69">
        <f t="shared" si="5"/>
        <v>2863.5600000000004</v>
      </c>
      <c r="P31" s="6">
        <v>0.2</v>
      </c>
      <c r="Q31" s="69">
        <f t="shared" si="6"/>
        <v>5727.120000000001</v>
      </c>
      <c r="R31" s="7">
        <v>0.36</v>
      </c>
      <c r="S31" s="69">
        <f t="shared" si="7"/>
        <v>10308.815999999999</v>
      </c>
      <c r="T31" s="7">
        <v>0.3</v>
      </c>
      <c r="U31" s="69">
        <f t="shared" si="8"/>
        <v>8590.68</v>
      </c>
      <c r="V31" s="6">
        <f t="shared" si="15"/>
        <v>24</v>
      </c>
      <c r="W31" s="3" t="s">
        <v>232</v>
      </c>
      <c r="X31" s="43">
        <v>2386.3</v>
      </c>
      <c r="Y31" s="6">
        <v>0.6</v>
      </c>
      <c r="Z31" s="69">
        <f t="shared" si="9"/>
        <v>17181.36</v>
      </c>
      <c r="AA31" s="2">
        <v>0.8</v>
      </c>
      <c r="AB31" s="69">
        <f t="shared" si="10"/>
        <v>22908.480000000003</v>
      </c>
      <c r="AC31" s="7">
        <v>0.5</v>
      </c>
      <c r="AD31" s="69">
        <f t="shared" si="11"/>
        <v>14317.800000000001</v>
      </c>
      <c r="AE31" s="6">
        <v>0.25</v>
      </c>
      <c r="AF31" s="69">
        <f t="shared" si="12"/>
        <v>7158.900000000001</v>
      </c>
      <c r="AG31" s="2"/>
      <c r="AH31" s="17"/>
      <c r="AI31" s="2"/>
      <c r="AJ31" s="2"/>
    </row>
    <row r="32" spans="1:36" ht="12.75">
      <c r="A32" s="6">
        <f t="shared" si="13"/>
        <v>25</v>
      </c>
      <c r="B32" s="6">
        <f t="shared" si="14"/>
        <v>25</v>
      </c>
      <c r="C32" s="3" t="s">
        <v>233</v>
      </c>
      <c r="D32" s="64">
        <v>2403.6</v>
      </c>
      <c r="E32" s="7">
        <f t="shared" si="16"/>
        <v>3.7999999999999994</v>
      </c>
      <c r="F32" s="7">
        <f t="shared" si="0"/>
        <v>3.8000000000000003</v>
      </c>
      <c r="G32" s="69">
        <f t="shared" si="1"/>
        <v>109604.16</v>
      </c>
      <c r="H32" s="6">
        <v>0.28</v>
      </c>
      <c r="I32" s="69">
        <f t="shared" si="2"/>
        <v>8076.0960000000005</v>
      </c>
      <c r="J32" s="6">
        <v>0.22</v>
      </c>
      <c r="K32" s="69">
        <f t="shared" si="3"/>
        <v>6345.504000000001</v>
      </c>
      <c r="L32" s="6">
        <v>0.39</v>
      </c>
      <c r="M32" s="69">
        <f t="shared" si="4"/>
        <v>11248.848</v>
      </c>
      <c r="N32" s="6">
        <v>0.1</v>
      </c>
      <c r="O32" s="69">
        <f t="shared" si="5"/>
        <v>2884.32</v>
      </c>
      <c r="P32" s="6">
        <v>0.2</v>
      </c>
      <c r="Q32" s="69">
        <f t="shared" si="6"/>
        <v>5768.64</v>
      </c>
      <c r="R32" s="7">
        <v>0.36</v>
      </c>
      <c r="S32" s="69">
        <f t="shared" si="7"/>
        <v>10383.552</v>
      </c>
      <c r="T32" s="7">
        <v>0.3</v>
      </c>
      <c r="U32" s="69">
        <f t="shared" si="8"/>
        <v>8652.96</v>
      </c>
      <c r="V32" s="6">
        <f t="shared" si="15"/>
        <v>25</v>
      </c>
      <c r="W32" s="3" t="s">
        <v>233</v>
      </c>
      <c r="X32" s="64">
        <v>2403.6</v>
      </c>
      <c r="Y32" s="6">
        <v>0.6</v>
      </c>
      <c r="Z32" s="69">
        <f t="shared" si="9"/>
        <v>17305.92</v>
      </c>
      <c r="AA32" s="2">
        <v>0.7</v>
      </c>
      <c r="AB32" s="69">
        <f t="shared" si="10"/>
        <v>20190.239999999998</v>
      </c>
      <c r="AC32" s="7">
        <v>0.4</v>
      </c>
      <c r="AD32" s="69">
        <f t="shared" si="11"/>
        <v>11537.28</v>
      </c>
      <c r="AE32" s="6">
        <v>0.25</v>
      </c>
      <c r="AF32" s="69">
        <f t="shared" si="12"/>
        <v>7210.799999999999</v>
      </c>
      <c r="AG32" s="2"/>
      <c r="AH32" s="17"/>
      <c r="AI32" s="2"/>
      <c r="AJ32" s="2"/>
    </row>
    <row r="33" spans="1:36" ht="12.75">
      <c r="A33" s="6">
        <f t="shared" si="13"/>
        <v>26</v>
      </c>
      <c r="B33" s="6">
        <f t="shared" si="14"/>
        <v>26</v>
      </c>
      <c r="C33" s="3" t="s">
        <v>234</v>
      </c>
      <c r="D33" s="170">
        <v>4566.4</v>
      </c>
      <c r="E33" s="7">
        <f t="shared" si="16"/>
        <v>2.8000000000000003</v>
      </c>
      <c r="F33" s="7">
        <f t="shared" si="0"/>
        <v>2.8000000000000003</v>
      </c>
      <c r="G33" s="69">
        <f t="shared" si="1"/>
        <v>153431.03999999998</v>
      </c>
      <c r="H33" s="6">
        <v>0.28</v>
      </c>
      <c r="I33" s="69">
        <f t="shared" si="2"/>
        <v>15343.104000000001</v>
      </c>
      <c r="J33" s="6">
        <v>0.2</v>
      </c>
      <c r="K33" s="69">
        <f t="shared" si="3"/>
        <v>10959.36</v>
      </c>
      <c r="L33" s="6">
        <v>0.39</v>
      </c>
      <c r="M33" s="69">
        <f t="shared" si="4"/>
        <v>21370.752</v>
      </c>
      <c r="N33" s="6">
        <v>0.1</v>
      </c>
      <c r="O33" s="69">
        <f t="shared" si="5"/>
        <v>5479.68</v>
      </c>
      <c r="P33" s="6">
        <v>0.2</v>
      </c>
      <c r="Q33" s="69">
        <f t="shared" si="6"/>
        <v>10959.36</v>
      </c>
      <c r="R33" s="7">
        <v>0.36</v>
      </c>
      <c r="S33" s="69">
        <f t="shared" si="7"/>
        <v>19726.847999999998</v>
      </c>
      <c r="T33" s="7">
        <v>0.2</v>
      </c>
      <c r="U33" s="69">
        <f t="shared" si="8"/>
        <v>10959.36</v>
      </c>
      <c r="V33" s="6">
        <f t="shared" si="15"/>
        <v>26</v>
      </c>
      <c r="W33" s="3" t="s">
        <v>234</v>
      </c>
      <c r="X33" s="170">
        <v>4566.4</v>
      </c>
      <c r="Y33" s="6">
        <v>0.3</v>
      </c>
      <c r="Z33" s="69">
        <f t="shared" si="9"/>
        <v>16439.039999999997</v>
      </c>
      <c r="AA33" s="2">
        <v>0.32</v>
      </c>
      <c r="AB33" s="69">
        <f t="shared" si="10"/>
        <v>17534.976</v>
      </c>
      <c r="AC33" s="7">
        <v>0.25</v>
      </c>
      <c r="AD33" s="69">
        <f t="shared" si="11"/>
        <v>13699.199999999999</v>
      </c>
      <c r="AE33" s="6">
        <v>0.2</v>
      </c>
      <c r="AF33" s="69">
        <f t="shared" si="12"/>
        <v>10959.36</v>
      </c>
      <c r="AG33" s="2"/>
      <c r="AH33" s="17"/>
      <c r="AI33" s="2"/>
      <c r="AJ33" s="2"/>
    </row>
    <row r="34" spans="1:36" ht="12.75">
      <c r="A34" s="6">
        <f t="shared" si="13"/>
        <v>27</v>
      </c>
      <c r="B34" s="6">
        <f t="shared" si="14"/>
        <v>27</v>
      </c>
      <c r="C34" s="3" t="s">
        <v>118</v>
      </c>
      <c r="D34" s="170">
        <v>1474</v>
      </c>
      <c r="E34" s="7">
        <f t="shared" si="16"/>
        <v>4.449999999999999</v>
      </c>
      <c r="F34" s="7">
        <f t="shared" si="0"/>
        <v>4.45</v>
      </c>
      <c r="G34" s="69">
        <f t="shared" si="1"/>
        <v>78711.6</v>
      </c>
      <c r="H34" s="6">
        <v>0.5</v>
      </c>
      <c r="I34" s="69">
        <f t="shared" si="2"/>
        <v>8844</v>
      </c>
      <c r="J34" s="6">
        <v>0.2</v>
      </c>
      <c r="K34" s="69">
        <f t="shared" si="3"/>
        <v>3537.6000000000004</v>
      </c>
      <c r="L34" s="6">
        <v>0.44</v>
      </c>
      <c r="M34" s="69">
        <f t="shared" si="4"/>
        <v>7782.720000000001</v>
      </c>
      <c r="N34" s="6">
        <v>0.2</v>
      </c>
      <c r="O34" s="69">
        <f t="shared" si="5"/>
        <v>3537.6000000000004</v>
      </c>
      <c r="P34" s="6">
        <v>0.3</v>
      </c>
      <c r="Q34" s="69">
        <f t="shared" si="6"/>
        <v>5306.4</v>
      </c>
      <c r="R34" s="7">
        <v>0.36</v>
      </c>
      <c r="S34" s="69">
        <f t="shared" si="7"/>
        <v>6367.68</v>
      </c>
      <c r="T34" s="7">
        <v>0.3</v>
      </c>
      <c r="U34" s="69">
        <f t="shared" si="8"/>
        <v>5306.4</v>
      </c>
      <c r="V34" s="6">
        <f t="shared" si="15"/>
        <v>27</v>
      </c>
      <c r="W34" s="3" t="s">
        <v>118</v>
      </c>
      <c r="X34" s="170">
        <v>1474</v>
      </c>
      <c r="Y34" s="6">
        <v>0.5</v>
      </c>
      <c r="Z34" s="69">
        <f t="shared" si="9"/>
        <v>8844</v>
      </c>
      <c r="AA34" s="2">
        <v>0.8</v>
      </c>
      <c r="AB34" s="69">
        <f t="shared" si="10"/>
        <v>14150.400000000001</v>
      </c>
      <c r="AC34" s="7">
        <v>0.6</v>
      </c>
      <c r="AD34" s="69">
        <f t="shared" si="11"/>
        <v>10612.8</v>
      </c>
      <c r="AE34" s="6">
        <v>0.25</v>
      </c>
      <c r="AF34" s="69">
        <f t="shared" si="12"/>
        <v>4422</v>
      </c>
      <c r="AG34" s="2"/>
      <c r="AH34" s="17"/>
      <c r="AI34" s="2"/>
      <c r="AJ34" s="2"/>
    </row>
    <row r="35" spans="1:36" ht="12.75">
      <c r="A35" s="6">
        <f t="shared" si="13"/>
        <v>28</v>
      </c>
      <c r="B35" s="6">
        <f t="shared" si="14"/>
        <v>28</v>
      </c>
      <c r="C35" s="3" t="s">
        <v>119</v>
      </c>
      <c r="D35" s="170">
        <v>1462</v>
      </c>
      <c r="E35" s="7">
        <f t="shared" si="16"/>
        <v>3.9</v>
      </c>
      <c r="F35" s="7">
        <f t="shared" si="0"/>
        <v>3.9</v>
      </c>
      <c r="G35" s="69">
        <f t="shared" si="1"/>
        <v>68421.59999999999</v>
      </c>
      <c r="H35" s="6">
        <v>0.4</v>
      </c>
      <c r="I35" s="69">
        <f t="shared" si="2"/>
        <v>7017.6</v>
      </c>
      <c r="J35" s="6">
        <v>0.2</v>
      </c>
      <c r="K35" s="69">
        <f t="shared" si="3"/>
        <v>3508.8</v>
      </c>
      <c r="L35" s="6">
        <v>0.44</v>
      </c>
      <c r="M35" s="69">
        <f t="shared" si="4"/>
        <v>7719.36</v>
      </c>
      <c r="N35" s="6">
        <v>0.2</v>
      </c>
      <c r="O35" s="69">
        <f t="shared" si="5"/>
        <v>3508.8</v>
      </c>
      <c r="P35" s="6">
        <v>0.3</v>
      </c>
      <c r="Q35" s="69">
        <f t="shared" si="6"/>
        <v>5263.2</v>
      </c>
      <c r="R35" s="7">
        <v>0.36</v>
      </c>
      <c r="S35" s="69">
        <f t="shared" si="7"/>
        <v>6315.839999999999</v>
      </c>
      <c r="T35" s="7">
        <v>0.3</v>
      </c>
      <c r="U35" s="69">
        <f t="shared" si="8"/>
        <v>5263.2</v>
      </c>
      <c r="V35" s="6">
        <f t="shared" si="15"/>
        <v>28</v>
      </c>
      <c r="W35" s="3" t="s">
        <v>119</v>
      </c>
      <c r="X35" s="170">
        <v>1462</v>
      </c>
      <c r="Y35" s="6">
        <v>0.5</v>
      </c>
      <c r="Z35" s="69">
        <f t="shared" si="9"/>
        <v>8772</v>
      </c>
      <c r="AA35" s="2">
        <v>0.35</v>
      </c>
      <c r="AB35" s="69">
        <f t="shared" si="10"/>
        <v>6140.4</v>
      </c>
      <c r="AC35" s="7">
        <v>0.6</v>
      </c>
      <c r="AD35" s="69">
        <f t="shared" si="11"/>
        <v>10526.4</v>
      </c>
      <c r="AE35" s="6">
        <v>0.25</v>
      </c>
      <c r="AF35" s="69">
        <f t="shared" si="12"/>
        <v>4386</v>
      </c>
      <c r="AG35" s="2"/>
      <c r="AH35" s="17"/>
      <c r="AI35" s="2"/>
      <c r="AJ35" s="2"/>
    </row>
    <row r="36" spans="1:36" ht="12.75">
      <c r="A36" s="6">
        <f t="shared" si="13"/>
        <v>29</v>
      </c>
      <c r="B36" s="6">
        <f t="shared" si="14"/>
        <v>29</v>
      </c>
      <c r="C36" s="3" t="s">
        <v>23</v>
      </c>
      <c r="D36" s="80">
        <v>4552.1</v>
      </c>
      <c r="E36" s="7">
        <f t="shared" si="16"/>
        <v>2.97</v>
      </c>
      <c r="F36" s="7">
        <f t="shared" si="0"/>
        <v>2.97</v>
      </c>
      <c r="G36" s="69">
        <f t="shared" si="1"/>
        <v>162236.844</v>
      </c>
      <c r="H36" s="2">
        <v>0.6</v>
      </c>
      <c r="I36" s="69">
        <f t="shared" si="2"/>
        <v>32775.12</v>
      </c>
      <c r="J36" s="6">
        <v>0.3</v>
      </c>
      <c r="K36" s="69">
        <f t="shared" si="3"/>
        <v>16387.56</v>
      </c>
      <c r="L36" s="6">
        <v>0.3</v>
      </c>
      <c r="M36" s="69">
        <f t="shared" si="4"/>
        <v>16387.56</v>
      </c>
      <c r="N36" s="6">
        <v>0.1</v>
      </c>
      <c r="O36" s="69">
        <f t="shared" si="5"/>
        <v>5462.52</v>
      </c>
      <c r="P36" s="6">
        <v>0.2</v>
      </c>
      <c r="Q36" s="69">
        <f t="shared" si="6"/>
        <v>10925.04</v>
      </c>
      <c r="R36" s="7">
        <v>0.36</v>
      </c>
      <c r="S36" s="69">
        <f t="shared" si="7"/>
        <v>19665.072</v>
      </c>
      <c r="T36" s="7">
        <v>0.1</v>
      </c>
      <c r="U36" s="69">
        <f t="shared" si="8"/>
        <v>5462.52</v>
      </c>
      <c r="V36" s="6">
        <f t="shared" si="15"/>
        <v>29</v>
      </c>
      <c r="W36" s="3" t="s">
        <v>23</v>
      </c>
      <c r="X36" s="80">
        <v>4552.1</v>
      </c>
      <c r="Y36" s="6">
        <v>0.4</v>
      </c>
      <c r="Z36" s="69">
        <f t="shared" si="9"/>
        <v>21850.08</v>
      </c>
      <c r="AA36" s="2">
        <v>0.31</v>
      </c>
      <c r="AB36" s="69">
        <f t="shared" si="10"/>
        <v>16933.812</v>
      </c>
      <c r="AC36" s="7">
        <v>0.2</v>
      </c>
      <c r="AD36" s="69">
        <f t="shared" si="11"/>
        <v>10925.04</v>
      </c>
      <c r="AE36" s="6">
        <v>0.1</v>
      </c>
      <c r="AF36" s="69">
        <f t="shared" si="12"/>
        <v>5462.52</v>
      </c>
      <c r="AG36" s="2"/>
      <c r="AH36" s="17"/>
      <c r="AI36" s="6"/>
      <c r="AJ36" s="2"/>
    </row>
    <row r="37" spans="1:36" ht="12.75">
      <c r="A37" s="6">
        <f t="shared" si="13"/>
        <v>30</v>
      </c>
      <c r="B37" s="6">
        <f t="shared" si="14"/>
        <v>30</v>
      </c>
      <c r="C37" s="3" t="s">
        <v>24</v>
      </c>
      <c r="D37" s="80">
        <v>7573.69</v>
      </c>
      <c r="E37" s="7">
        <f t="shared" si="16"/>
        <v>3.1700000000000004</v>
      </c>
      <c r="F37" s="7">
        <f t="shared" si="0"/>
        <v>3.1700000000000004</v>
      </c>
      <c r="G37" s="69">
        <f t="shared" si="1"/>
        <v>288103.16760000004</v>
      </c>
      <c r="H37" s="2">
        <v>0.5</v>
      </c>
      <c r="I37" s="69">
        <f t="shared" si="2"/>
        <v>45442.14</v>
      </c>
      <c r="J37" s="2">
        <v>0.3</v>
      </c>
      <c r="K37" s="69">
        <f t="shared" si="3"/>
        <v>27265.284</v>
      </c>
      <c r="L37" s="2">
        <v>0.3</v>
      </c>
      <c r="M37" s="69">
        <f t="shared" si="4"/>
        <v>27265.284</v>
      </c>
      <c r="N37" s="2">
        <v>0.2</v>
      </c>
      <c r="O37" s="69">
        <f t="shared" si="5"/>
        <v>18176.856</v>
      </c>
      <c r="P37" s="2">
        <v>0.3</v>
      </c>
      <c r="Q37" s="69">
        <f t="shared" si="6"/>
        <v>27265.284</v>
      </c>
      <c r="R37" s="7">
        <v>0.36</v>
      </c>
      <c r="S37" s="69">
        <f t="shared" si="7"/>
        <v>32718.340799999998</v>
      </c>
      <c r="T37" s="21">
        <v>0.2</v>
      </c>
      <c r="U37" s="69">
        <f t="shared" si="8"/>
        <v>18176.856</v>
      </c>
      <c r="V37" s="6">
        <f t="shared" si="15"/>
        <v>30</v>
      </c>
      <c r="W37" s="3" t="s">
        <v>24</v>
      </c>
      <c r="X37" s="80">
        <v>7573.69</v>
      </c>
      <c r="Y37" s="2">
        <v>0.4</v>
      </c>
      <c r="Z37" s="69">
        <f t="shared" si="9"/>
        <v>36353.712</v>
      </c>
      <c r="AA37" s="2">
        <v>0.31</v>
      </c>
      <c r="AB37" s="69">
        <f t="shared" si="10"/>
        <v>28174.1268</v>
      </c>
      <c r="AC37" s="21">
        <v>0.2</v>
      </c>
      <c r="AD37" s="69">
        <f t="shared" si="11"/>
        <v>18176.856</v>
      </c>
      <c r="AE37" s="2">
        <v>0.1</v>
      </c>
      <c r="AF37" s="69">
        <f t="shared" si="12"/>
        <v>9088.428</v>
      </c>
      <c r="AG37" s="2"/>
      <c r="AH37" s="17"/>
      <c r="AI37" s="6"/>
      <c r="AJ37" s="2"/>
    </row>
    <row r="38" spans="1:36" ht="12.75">
      <c r="A38" s="6">
        <f t="shared" si="13"/>
        <v>31</v>
      </c>
      <c r="B38" s="6">
        <f t="shared" si="14"/>
        <v>31</v>
      </c>
      <c r="C38" s="3" t="s">
        <v>25</v>
      </c>
      <c r="D38" s="80">
        <v>3380.8</v>
      </c>
      <c r="E38" s="7">
        <f t="shared" si="16"/>
        <v>2.45</v>
      </c>
      <c r="F38" s="7">
        <f t="shared" si="0"/>
        <v>2.4500000000000006</v>
      </c>
      <c r="G38" s="69">
        <f t="shared" si="1"/>
        <v>99395.52000000002</v>
      </c>
      <c r="H38" s="2">
        <v>0.4</v>
      </c>
      <c r="I38" s="69">
        <f t="shared" si="2"/>
        <v>16227.840000000002</v>
      </c>
      <c r="J38" s="6">
        <v>0.2</v>
      </c>
      <c r="K38" s="69">
        <f t="shared" si="3"/>
        <v>8113.920000000001</v>
      </c>
      <c r="L38" s="6">
        <v>0.2</v>
      </c>
      <c r="M38" s="69">
        <f t="shared" si="4"/>
        <v>8113.920000000001</v>
      </c>
      <c r="N38" s="6">
        <v>0.1</v>
      </c>
      <c r="O38" s="69">
        <f t="shared" si="5"/>
        <v>4056.9600000000005</v>
      </c>
      <c r="P38" s="6">
        <v>0.2</v>
      </c>
      <c r="Q38" s="69">
        <f t="shared" si="6"/>
        <v>8113.920000000001</v>
      </c>
      <c r="R38" s="7">
        <v>0.36</v>
      </c>
      <c r="S38" s="69">
        <f t="shared" si="7"/>
        <v>14605.056</v>
      </c>
      <c r="T38" s="7">
        <v>0.1</v>
      </c>
      <c r="U38" s="69">
        <f t="shared" si="8"/>
        <v>4056.9600000000005</v>
      </c>
      <c r="V38" s="6">
        <f t="shared" si="15"/>
        <v>31</v>
      </c>
      <c r="W38" s="3" t="s">
        <v>25</v>
      </c>
      <c r="X38" s="80">
        <v>3380.8</v>
      </c>
      <c r="Y38" s="6">
        <v>0.35</v>
      </c>
      <c r="Z38" s="69">
        <f t="shared" si="9"/>
        <v>14199.36</v>
      </c>
      <c r="AA38" s="2">
        <v>0.29</v>
      </c>
      <c r="AB38" s="69">
        <f t="shared" si="10"/>
        <v>11765.184000000001</v>
      </c>
      <c r="AC38" s="7">
        <v>0.15</v>
      </c>
      <c r="AD38" s="69">
        <f t="shared" si="11"/>
        <v>6085.4400000000005</v>
      </c>
      <c r="AE38" s="6">
        <v>0.1</v>
      </c>
      <c r="AF38" s="69">
        <f t="shared" si="12"/>
        <v>4056.9600000000005</v>
      </c>
      <c r="AG38" s="2"/>
      <c r="AH38" s="17"/>
      <c r="AI38" s="6"/>
      <c r="AJ38" s="2"/>
    </row>
    <row r="39" spans="1:36" ht="12.75">
      <c r="A39" s="6">
        <f t="shared" si="13"/>
        <v>32</v>
      </c>
      <c r="B39" s="6">
        <f t="shared" si="14"/>
        <v>32</v>
      </c>
      <c r="C39" s="3" t="s">
        <v>26</v>
      </c>
      <c r="D39" s="80">
        <v>3433.08</v>
      </c>
      <c r="E39" s="7">
        <f t="shared" si="16"/>
        <v>2.65</v>
      </c>
      <c r="F39" s="7">
        <f t="shared" si="0"/>
        <v>2.65</v>
      </c>
      <c r="G39" s="69">
        <f t="shared" si="1"/>
        <v>109171.94399999999</v>
      </c>
      <c r="H39" s="2">
        <v>0.4</v>
      </c>
      <c r="I39" s="69">
        <f t="shared" si="2"/>
        <v>16478.784</v>
      </c>
      <c r="J39" s="6">
        <v>0.2</v>
      </c>
      <c r="K39" s="69">
        <f t="shared" si="3"/>
        <v>8239.392</v>
      </c>
      <c r="L39" s="6">
        <v>0.2</v>
      </c>
      <c r="M39" s="69">
        <f t="shared" si="4"/>
        <v>8239.392</v>
      </c>
      <c r="N39" s="6">
        <v>0.1</v>
      </c>
      <c r="O39" s="69">
        <f t="shared" si="5"/>
        <v>4119.696</v>
      </c>
      <c r="P39" s="6">
        <v>0.2</v>
      </c>
      <c r="Q39" s="69">
        <f t="shared" si="6"/>
        <v>8239.392</v>
      </c>
      <c r="R39" s="7">
        <v>0.36</v>
      </c>
      <c r="S39" s="69">
        <f t="shared" si="7"/>
        <v>14830.905599999998</v>
      </c>
      <c r="T39" s="7">
        <v>0.2</v>
      </c>
      <c r="U39" s="69">
        <f t="shared" si="8"/>
        <v>8239.392</v>
      </c>
      <c r="V39" s="6">
        <f t="shared" si="15"/>
        <v>32</v>
      </c>
      <c r="W39" s="3" t="s">
        <v>26</v>
      </c>
      <c r="X39" s="80">
        <v>3433.08</v>
      </c>
      <c r="Y39" s="6">
        <v>0.35</v>
      </c>
      <c r="Z39" s="69">
        <f t="shared" si="9"/>
        <v>14418.936</v>
      </c>
      <c r="AA39" s="2">
        <v>0.29</v>
      </c>
      <c r="AB39" s="69">
        <f t="shared" si="10"/>
        <v>11947.1184</v>
      </c>
      <c r="AC39" s="7">
        <v>0.15</v>
      </c>
      <c r="AD39" s="69">
        <f t="shared" si="11"/>
        <v>6179.544</v>
      </c>
      <c r="AE39" s="6">
        <v>0.2</v>
      </c>
      <c r="AF39" s="69">
        <f t="shared" si="12"/>
        <v>8239.392</v>
      </c>
      <c r="AG39" s="2"/>
      <c r="AH39" s="17"/>
      <c r="AI39" s="6"/>
      <c r="AJ39" s="2"/>
    </row>
    <row r="40" spans="1:36" ht="12.75">
      <c r="A40" s="6">
        <f t="shared" si="13"/>
        <v>33</v>
      </c>
      <c r="B40" s="6">
        <f t="shared" si="14"/>
        <v>33</v>
      </c>
      <c r="C40" s="3" t="s">
        <v>123</v>
      </c>
      <c r="D40" s="168">
        <v>2797.2</v>
      </c>
      <c r="E40" s="7">
        <f t="shared" si="16"/>
        <v>2.5000000000000004</v>
      </c>
      <c r="F40" s="7">
        <f t="shared" si="0"/>
        <v>2.5000000000000004</v>
      </c>
      <c r="G40" s="69">
        <f t="shared" si="1"/>
        <v>83916</v>
      </c>
      <c r="H40" s="2">
        <v>0.4</v>
      </c>
      <c r="I40" s="69">
        <f t="shared" si="2"/>
        <v>13426.559999999998</v>
      </c>
      <c r="J40" s="2">
        <v>0.15</v>
      </c>
      <c r="K40" s="69">
        <f t="shared" si="3"/>
        <v>5034.96</v>
      </c>
      <c r="L40" s="2">
        <v>0.3</v>
      </c>
      <c r="M40" s="69">
        <f t="shared" si="4"/>
        <v>10069.92</v>
      </c>
      <c r="N40" s="2">
        <v>0.1</v>
      </c>
      <c r="O40" s="69">
        <f t="shared" si="5"/>
        <v>3356.6399999999994</v>
      </c>
      <c r="P40" s="2">
        <v>0.2</v>
      </c>
      <c r="Q40" s="69">
        <f t="shared" si="6"/>
        <v>6713.279999999999</v>
      </c>
      <c r="R40" s="7">
        <v>0.36</v>
      </c>
      <c r="S40" s="69">
        <f t="shared" si="7"/>
        <v>12083.903999999999</v>
      </c>
      <c r="T40" s="21">
        <v>0.1</v>
      </c>
      <c r="U40" s="69">
        <f t="shared" si="8"/>
        <v>3356.6399999999994</v>
      </c>
      <c r="V40" s="6">
        <f t="shared" si="15"/>
        <v>33</v>
      </c>
      <c r="W40" s="3" t="s">
        <v>123</v>
      </c>
      <c r="X40" s="168">
        <v>2797.2</v>
      </c>
      <c r="Y40" s="2">
        <v>0.35</v>
      </c>
      <c r="Z40" s="69">
        <f t="shared" si="9"/>
        <v>11748.239999999998</v>
      </c>
      <c r="AA40" s="2">
        <v>0.29</v>
      </c>
      <c r="AB40" s="69">
        <f t="shared" si="10"/>
        <v>9734.255999999998</v>
      </c>
      <c r="AC40" s="21">
        <v>0.15</v>
      </c>
      <c r="AD40" s="69">
        <f t="shared" si="11"/>
        <v>5034.96</v>
      </c>
      <c r="AE40" s="2">
        <v>0.1</v>
      </c>
      <c r="AF40" s="69">
        <f t="shared" si="12"/>
        <v>3356.6399999999994</v>
      </c>
      <c r="AG40" s="2"/>
      <c r="AH40" s="17"/>
      <c r="AI40" s="6"/>
      <c r="AJ40" s="2"/>
    </row>
    <row r="41" spans="1:36" ht="12.75">
      <c r="A41" s="6">
        <f t="shared" si="13"/>
        <v>34</v>
      </c>
      <c r="B41" s="6">
        <f t="shared" si="14"/>
        <v>34</v>
      </c>
      <c r="C41" s="3" t="s">
        <v>124</v>
      </c>
      <c r="D41" s="80">
        <v>3385.6</v>
      </c>
      <c r="E41" s="7">
        <f t="shared" si="16"/>
        <v>3</v>
      </c>
      <c r="F41" s="7">
        <f t="shared" si="0"/>
        <v>3</v>
      </c>
      <c r="G41" s="69">
        <f t="shared" si="1"/>
        <v>121881.6</v>
      </c>
      <c r="H41" s="2">
        <v>0.5</v>
      </c>
      <c r="I41" s="69">
        <f t="shared" si="2"/>
        <v>20313.6</v>
      </c>
      <c r="J41" s="2">
        <v>0.2</v>
      </c>
      <c r="K41" s="69">
        <f t="shared" si="3"/>
        <v>8125.4400000000005</v>
      </c>
      <c r="L41" s="2">
        <v>0.3</v>
      </c>
      <c r="M41" s="69">
        <f t="shared" si="4"/>
        <v>12188.16</v>
      </c>
      <c r="N41" s="2">
        <v>0.2</v>
      </c>
      <c r="O41" s="69">
        <f t="shared" si="5"/>
        <v>8125.4400000000005</v>
      </c>
      <c r="P41" s="2">
        <v>0.3</v>
      </c>
      <c r="Q41" s="69">
        <f t="shared" si="6"/>
        <v>12188.16</v>
      </c>
      <c r="R41" s="7">
        <v>0.36</v>
      </c>
      <c r="S41" s="69">
        <f t="shared" si="7"/>
        <v>14625.792000000001</v>
      </c>
      <c r="T41" s="21">
        <v>0.15</v>
      </c>
      <c r="U41" s="69">
        <f t="shared" si="8"/>
        <v>6094.08</v>
      </c>
      <c r="V41" s="6">
        <f t="shared" si="15"/>
        <v>34</v>
      </c>
      <c r="W41" s="3" t="s">
        <v>124</v>
      </c>
      <c r="X41" s="80">
        <v>3385.6</v>
      </c>
      <c r="Y41" s="2">
        <v>0.35</v>
      </c>
      <c r="Z41" s="69">
        <f t="shared" si="9"/>
        <v>14219.519999999997</v>
      </c>
      <c r="AA41" s="2">
        <v>0.29</v>
      </c>
      <c r="AB41" s="69">
        <f t="shared" si="10"/>
        <v>11781.887999999999</v>
      </c>
      <c r="AC41" s="21">
        <v>0.15</v>
      </c>
      <c r="AD41" s="69">
        <f t="shared" si="11"/>
        <v>6094.08</v>
      </c>
      <c r="AE41" s="2">
        <v>0.2</v>
      </c>
      <c r="AF41" s="69">
        <f t="shared" si="12"/>
        <v>8125.4400000000005</v>
      </c>
      <c r="AG41" s="2"/>
      <c r="AH41" s="17"/>
      <c r="AI41" s="6"/>
      <c r="AJ41" s="2"/>
    </row>
    <row r="42" spans="1:36" ht="12.75">
      <c r="A42" s="6">
        <f t="shared" si="13"/>
        <v>35</v>
      </c>
      <c r="B42" s="6">
        <f t="shared" si="14"/>
        <v>35</v>
      </c>
      <c r="C42" s="3" t="s">
        <v>125</v>
      </c>
      <c r="D42" s="80">
        <v>3270.2</v>
      </c>
      <c r="E42" s="7">
        <f t="shared" si="16"/>
        <v>3.13</v>
      </c>
      <c r="F42" s="7">
        <f t="shared" si="0"/>
        <v>3.1299999999999994</v>
      </c>
      <c r="G42" s="69">
        <f t="shared" si="1"/>
        <v>122828.71199999997</v>
      </c>
      <c r="H42" s="2">
        <v>0.5</v>
      </c>
      <c r="I42" s="69">
        <f t="shared" si="2"/>
        <v>19621.199999999997</v>
      </c>
      <c r="J42" s="2">
        <v>0.2</v>
      </c>
      <c r="K42" s="69">
        <f t="shared" si="3"/>
        <v>7848.48</v>
      </c>
      <c r="L42" s="2">
        <v>0.3</v>
      </c>
      <c r="M42" s="69">
        <f t="shared" si="4"/>
        <v>11772.72</v>
      </c>
      <c r="N42" s="2">
        <v>0.2</v>
      </c>
      <c r="O42" s="69">
        <f t="shared" si="5"/>
        <v>7848.48</v>
      </c>
      <c r="P42" s="2">
        <v>0.3</v>
      </c>
      <c r="Q42" s="69">
        <f t="shared" si="6"/>
        <v>11772.72</v>
      </c>
      <c r="R42" s="7">
        <v>0.36</v>
      </c>
      <c r="S42" s="69">
        <f t="shared" si="7"/>
        <v>14127.264</v>
      </c>
      <c r="T42" s="21">
        <v>0.15</v>
      </c>
      <c r="U42" s="69">
        <f t="shared" si="8"/>
        <v>5886.36</v>
      </c>
      <c r="V42" s="6">
        <f t="shared" si="15"/>
        <v>35</v>
      </c>
      <c r="W42" s="3" t="s">
        <v>125</v>
      </c>
      <c r="X42" s="80">
        <v>3270.2</v>
      </c>
      <c r="Y42" s="2">
        <v>0.4</v>
      </c>
      <c r="Z42" s="69">
        <f t="shared" si="9"/>
        <v>15696.96</v>
      </c>
      <c r="AA42" s="2">
        <v>0.32</v>
      </c>
      <c r="AB42" s="69">
        <f t="shared" si="10"/>
        <v>12557.568</v>
      </c>
      <c r="AC42" s="21">
        <v>0.2</v>
      </c>
      <c r="AD42" s="69">
        <f t="shared" si="11"/>
        <v>7848.48</v>
      </c>
      <c r="AE42" s="2">
        <v>0.2</v>
      </c>
      <c r="AF42" s="69">
        <f t="shared" si="12"/>
        <v>7848.48</v>
      </c>
      <c r="AG42" s="2"/>
      <c r="AH42" s="17"/>
      <c r="AI42" s="6"/>
      <c r="AJ42" s="2"/>
    </row>
    <row r="43" spans="1:36" ht="12.75">
      <c r="A43" s="6">
        <f t="shared" si="13"/>
        <v>36</v>
      </c>
      <c r="B43" s="6">
        <f t="shared" si="14"/>
        <v>36</v>
      </c>
      <c r="C43" s="3" t="s">
        <v>126</v>
      </c>
      <c r="D43" s="80">
        <v>2204.3</v>
      </c>
      <c r="E43" s="7">
        <f t="shared" si="16"/>
        <v>2.35</v>
      </c>
      <c r="F43" s="7">
        <f t="shared" si="0"/>
        <v>2.35</v>
      </c>
      <c r="G43" s="69">
        <f t="shared" si="1"/>
        <v>62161.26000000001</v>
      </c>
      <c r="H43" s="2">
        <v>0.3</v>
      </c>
      <c r="I43" s="69">
        <f t="shared" si="2"/>
        <v>7935.480000000001</v>
      </c>
      <c r="J43" s="6">
        <v>0.15</v>
      </c>
      <c r="K43" s="69">
        <f t="shared" si="3"/>
        <v>3967.7400000000007</v>
      </c>
      <c r="L43" s="6">
        <v>0.25</v>
      </c>
      <c r="M43" s="69">
        <f t="shared" si="4"/>
        <v>6612.900000000001</v>
      </c>
      <c r="N43" s="6">
        <v>0.1</v>
      </c>
      <c r="O43" s="69">
        <f t="shared" si="5"/>
        <v>2645.1600000000003</v>
      </c>
      <c r="P43" s="6">
        <v>0.2</v>
      </c>
      <c r="Q43" s="69">
        <f t="shared" si="6"/>
        <v>5290.320000000001</v>
      </c>
      <c r="R43" s="7">
        <v>0.36</v>
      </c>
      <c r="S43" s="69">
        <f t="shared" si="7"/>
        <v>9522.576000000001</v>
      </c>
      <c r="T43" s="7">
        <v>0.1</v>
      </c>
      <c r="U43" s="69">
        <f t="shared" si="8"/>
        <v>2645.1600000000003</v>
      </c>
      <c r="V43" s="6">
        <f t="shared" si="15"/>
        <v>36</v>
      </c>
      <c r="W43" s="3" t="s">
        <v>126</v>
      </c>
      <c r="X43" s="80">
        <v>2204.3</v>
      </c>
      <c r="Y43" s="6">
        <v>0.35</v>
      </c>
      <c r="Z43" s="69">
        <f t="shared" si="9"/>
        <v>9258.06</v>
      </c>
      <c r="AA43" s="2">
        <v>0.29</v>
      </c>
      <c r="AB43" s="69">
        <f t="shared" si="10"/>
        <v>7670.964</v>
      </c>
      <c r="AC43" s="7">
        <v>0.15</v>
      </c>
      <c r="AD43" s="69">
        <f t="shared" si="11"/>
        <v>3967.7400000000007</v>
      </c>
      <c r="AE43" s="6">
        <v>0.1</v>
      </c>
      <c r="AF43" s="69">
        <f t="shared" si="12"/>
        <v>2645.1600000000003</v>
      </c>
      <c r="AG43" s="2"/>
      <c r="AH43" s="17"/>
      <c r="AI43" s="6"/>
      <c r="AJ43" s="2"/>
    </row>
    <row r="44" spans="1:36" ht="12.75">
      <c r="A44" s="6">
        <f t="shared" si="13"/>
        <v>37</v>
      </c>
      <c r="B44" s="6">
        <f t="shared" si="14"/>
        <v>37</v>
      </c>
      <c r="C44" s="3" t="s">
        <v>216</v>
      </c>
      <c r="D44" s="80">
        <v>2499.2</v>
      </c>
      <c r="E44" s="7">
        <f>H44+J44+L44+N44+P44+R44+T44+Y44+AA44+AC44+AE44</f>
        <v>5.010000000000001</v>
      </c>
      <c r="F44" s="7">
        <f t="shared" si="0"/>
        <v>5.01</v>
      </c>
      <c r="G44" s="69">
        <f t="shared" si="1"/>
        <v>150251.90399999998</v>
      </c>
      <c r="H44" s="6">
        <v>0.8</v>
      </c>
      <c r="I44" s="69">
        <f t="shared" si="2"/>
        <v>23992.32</v>
      </c>
      <c r="J44" s="6">
        <v>0.6</v>
      </c>
      <c r="K44" s="69">
        <f t="shared" si="3"/>
        <v>17994.239999999998</v>
      </c>
      <c r="L44" s="6">
        <v>0.65</v>
      </c>
      <c r="M44" s="69">
        <f t="shared" si="4"/>
        <v>19493.760000000002</v>
      </c>
      <c r="N44" s="6">
        <v>0.2</v>
      </c>
      <c r="O44" s="69">
        <f t="shared" si="5"/>
        <v>5998.08</v>
      </c>
      <c r="P44" s="6">
        <v>0.4</v>
      </c>
      <c r="Q44" s="69">
        <f t="shared" si="6"/>
        <v>11996.16</v>
      </c>
      <c r="R44" s="7">
        <v>0.36</v>
      </c>
      <c r="S44" s="69">
        <f t="shared" si="7"/>
        <v>10796.543999999998</v>
      </c>
      <c r="T44" s="7">
        <v>0.2</v>
      </c>
      <c r="U44" s="69">
        <f t="shared" si="8"/>
        <v>5998.08</v>
      </c>
      <c r="V44" s="6">
        <f t="shared" si="15"/>
        <v>37</v>
      </c>
      <c r="W44" s="3" t="s">
        <v>216</v>
      </c>
      <c r="X44" s="80">
        <v>2499.2</v>
      </c>
      <c r="Y44" s="6">
        <v>0.55</v>
      </c>
      <c r="Z44" s="69">
        <f t="shared" si="9"/>
        <v>16494.72</v>
      </c>
      <c r="AA44" s="2">
        <v>0.9</v>
      </c>
      <c r="AB44" s="69">
        <f t="shared" si="10"/>
        <v>26991.359999999997</v>
      </c>
      <c r="AC44" s="7">
        <v>0.15</v>
      </c>
      <c r="AD44" s="69">
        <f t="shared" si="11"/>
        <v>4498.5599999999995</v>
      </c>
      <c r="AE44" s="6">
        <v>0.2</v>
      </c>
      <c r="AF44" s="69">
        <f t="shared" si="12"/>
        <v>5998.08</v>
      </c>
      <c r="AG44" s="2"/>
      <c r="AH44" s="17"/>
      <c r="AI44" s="6"/>
      <c r="AJ44" s="2"/>
    </row>
    <row r="45" spans="1:36" ht="12.75">
      <c r="A45" s="6">
        <f t="shared" si="13"/>
        <v>38</v>
      </c>
      <c r="B45" s="6">
        <f t="shared" si="14"/>
        <v>38</v>
      </c>
      <c r="C45" s="3" t="s">
        <v>217</v>
      </c>
      <c r="D45" s="80">
        <v>2469.7</v>
      </c>
      <c r="E45" s="7">
        <f t="shared" si="16"/>
        <v>4.61</v>
      </c>
      <c r="F45" s="7">
        <f t="shared" si="0"/>
        <v>4.61</v>
      </c>
      <c r="G45" s="69">
        <f t="shared" si="1"/>
        <v>136623.804</v>
      </c>
      <c r="H45" s="6">
        <v>0.8</v>
      </c>
      <c r="I45" s="69">
        <f t="shared" si="2"/>
        <v>23709.12</v>
      </c>
      <c r="J45" s="6">
        <v>0.6</v>
      </c>
      <c r="K45" s="69">
        <f t="shared" si="3"/>
        <v>17781.84</v>
      </c>
      <c r="L45" s="6">
        <v>0.65</v>
      </c>
      <c r="M45" s="69">
        <f t="shared" si="4"/>
        <v>19263.659999999996</v>
      </c>
      <c r="N45" s="6">
        <v>0.2</v>
      </c>
      <c r="O45" s="69">
        <f t="shared" si="5"/>
        <v>5927.28</v>
      </c>
      <c r="P45" s="6">
        <v>0.4</v>
      </c>
      <c r="Q45" s="69">
        <f t="shared" si="6"/>
        <v>11854.56</v>
      </c>
      <c r="R45" s="7">
        <v>0.36</v>
      </c>
      <c r="S45" s="69">
        <f t="shared" si="7"/>
        <v>10669.104</v>
      </c>
      <c r="T45" s="7">
        <v>0.2</v>
      </c>
      <c r="U45" s="69">
        <f t="shared" si="8"/>
        <v>5927.28</v>
      </c>
      <c r="V45" s="6">
        <f t="shared" si="15"/>
        <v>38</v>
      </c>
      <c r="W45" s="3" t="s">
        <v>217</v>
      </c>
      <c r="X45" s="80">
        <v>2469.7</v>
      </c>
      <c r="Y45" s="6">
        <v>0.55</v>
      </c>
      <c r="Z45" s="69">
        <f t="shared" si="9"/>
        <v>16300.02</v>
      </c>
      <c r="AA45" s="2">
        <v>0.5</v>
      </c>
      <c r="AB45" s="69">
        <f t="shared" si="10"/>
        <v>14818.199999999999</v>
      </c>
      <c r="AC45" s="7">
        <v>0.15</v>
      </c>
      <c r="AD45" s="69">
        <f t="shared" si="11"/>
        <v>4445.46</v>
      </c>
      <c r="AE45" s="6">
        <v>0.2</v>
      </c>
      <c r="AF45" s="69">
        <f t="shared" si="12"/>
        <v>5927.28</v>
      </c>
      <c r="AG45" s="2"/>
      <c r="AH45" s="17"/>
      <c r="AI45" s="6"/>
      <c r="AJ45" s="2"/>
    </row>
    <row r="46" spans="1:36" ht="12.75">
      <c r="A46" s="6">
        <f t="shared" si="13"/>
        <v>39</v>
      </c>
      <c r="B46" s="6">
        <f t="shared" si="14"/>
        <v>39</v>
      </c>
      <c r="C46" s="2" t="s">
        <v>248</v>
      </c>
      <c r="D46" s="80">
        <v>1042.1</v>
      </c>
      <c r="E46" s="7">
        <f t="shared" si="16"/>
        <v>1.3400000000000003</v>
      </c>
      <c r="F46" s="7">
        <f t="shared" si="0"/>
        <v>1.34</v>
      </c>
      <c r="G46" s="69">
        <f t="shared" si="1"/>
        <v>16756.968</v>
      </c>
      <c r="H46" s="2">
        <v>0.23</v>
      </c>
      <c r="I46" s="69">
        <f t="shared" si="2"/>
        <v>2876.196</v>
      </c>
      <c r="J46" s="2">
        <v>0.21</v>
      </c>
      <c r="K46" s="69">
        <f t="shared" si="3"/>
        <v>2626.0919999999996</v>
      </c>
      <c r="L46" s="2">
        <v>0.04</v>
      </c>
      <c r="M46" s="69">
        <f t="shared" si="4"/>
        <v>500.20799999999997</v>
      </c>
      <c r="N46" s="2"/>
      <c r="O46" s="69">
        <f t="shared" si="5"/>
        <v>0</v>
      </c>
      <c r="P46" s="2"/>
      <c r="Q46" s="69">
        <f t="shared" si="6"/>
        <v>0</v>
      </c>
      <c r="R46" s="7">
        <v>0.36</v>
      </c>
      <c r="S46" s="69">
        <f t="shared" si="7"/>
        <v>4501.871999999999</v>
      </c>
      <c r="T46" s="2">
        <v>0.1</v>
      </c>
      <c r="U46" s="69">
        <f t="shared" si="8"/>
        <v>1250.52</v>
      </c>
      <c r="V46" s="6">
        <f t="shared" si="15"/>
        <v>39</v>
      </c>
      <c r="W46" s="2" t="s">
        <v>248</v>
      </c>
      <c r="X46" s="80">
        <v>1042.1</v>
      </c>
      <c r="Y46" s="2">
        <v>0.1</v>
      </c>
      <c r="Z46" s="69">
        <f t="shared" si="9"/>
        <v>1250.52</v>
      </c>
      <c r="AA46" s="2">
        <v>0.1</v>
      </c>
      <c r="AB46" s="69">
        <f t="shared" si="10"/>
        <v>1250.52</v>
      </c>
      <c r="AC46" s="2">
        <v>0.1</v>
      </c>
      <c r="AD46" s="69">
        <f t="shared" si="11"/>
        <v>1250.52</v>
      </c>
      <c r="AE46" s="2">
        <v>0.1</v>
      </c>
      <c r="AF46" s="69">
        <f t="shared" si="12"/>
        <v>1250.52</v>
      </c>
      <c r="AG46" s="5">
        <v>0.68</v>
      </c>
      <c r="AH46" s="17">
        <f>AG46*D46*12</f>
        <v>8503.536</v>
      </c>
      <c r="AI46" s="2"/>
      <c r="AJ46" s="2"/>
    </row>
    <row r="47" spans="1:36" ht="12.75">
      <c r="A47" s="6">
        <f t="shared" si="13"/>
        <v>40</v>
      </c>
      <c r="B47" s="6">
        <f t="shared" si="14"/>
        <v>40</v>
      </c>
      <c r="C47" s="2" t="s">
        <v>277</v>
      </c>
      <c r="D47" s="80">
        <v>1147.8</v>
      </c>
      <c r="E47" s="7">
        <f>H47+J47+L47+N47+P47+R47+T47+Y47+AA47+AC47+AE47</f>
        <v>3.1000000000000005</v>
      </c>
      <c r="F47" s="7">
        <f t="shared" si="0"/>
        <v>3.1</v>
      </c>
      <c r="G47" s="69">
        <f t="shared" si="1"/>
        <v>42698.16</v>
      </c>
      <c r="H47" s="2">
        <v>0.4</v>
      </c>
      <c r="I47" s="69">
        <f t="shared" si="2"/>
        <v>5509.4400000000005</v>
      </c>
      <c r="J47" s="2">
        <v>0.3</v>
      </c>
      <c r="K47" s="69">
        <f t="shared" si="3"/>
        <v>4132.08</v>
      </c>
      <c r="L47" s="2">
        <v>0.64</v>
      </c>
      <c r="M47" s="69">
        <f t="shared" si="4"/>
        <v>8815.104</v>
      </c>
      <c r="N47" s="2"/>
      <c r="O47" s="69">
        <f t="shared" si="5"/>
        <v>0</v>
      </c>
      <c r="P47" s="2">
        <v>0.2</v>
      </c>
      <c r="Q47" s="69">
        <f t="shared" si="6"/>
        <v>2754.7200000000003</v>
      </c>
      <c r="R47" s="7">
        <v>0.36</v>
      </c>
      <c r="S47" s="69">
        <f t="shared" si="7"/>
        <v>4958.495999999999</v>
      </c>
      <c r="T47" s="2">
        <v>0.2</v>
      </c>
      <c r="U47" s="69">
        <f t="shared" si="8"/>
        <v>2754.7200000000003</v>
      </c>
      <c r="V47" s="6">
        <f t="shared" si="15"/>
        <v>40</v>
      </c>
      <c r="W47" s="2" t="s">
        <v>277</v>
      </c>
      <c r="X47" s="80">
        <v>1147.8</v>
      </c>
      <c r="Y47" s="2">
        <v>0.2</v>
      </c>
      <c r="Z47" s="69">
        <f t="shared" si="9"/>
        <v>2754.7200000000003</v>
      </c>
      <c r="AA47" s="2">
        <v>0.4</v>
      </c>
      <c r="AB47" s="69">
        <f t="shared" si="10"/>
        <v>5509.4400000000005</v>
      </c>
      <c r="AC47" s="2">
        <v>0.2</v>
      </c>
      <c r="AD47" s="69">
        <f t="shared" si="11"/>
        <v>2754.7200000000003</v>
      </c>
      <c r="AE47" s="2">
        <v>0.2</v>
      </c>
      <c r="AF47" s="69">
        <f t="shared" si="12"/>
        <v>2754.7200000000003</v>
      </c>
      <c r="AG47" s="5">
        <v>0.62</v>
      </c>
      <c r="AH47" s="17">
        <f>AG47*D47*12</f>
        <v>8539.632</v>
      </c>
      <c r="AI47" s="2"/>
      <c r="AJ47" s="2"/>
    </row>
    <row r="48" spans="1:36" ht="12.75">
      <c r="A48" s="6">
        <f t="shared" si="13"/>
        <v>41</v>
      </c>
      <c r="B48" s="6">
        <f t="shared" si="14"/>
        <v>41</v>
      </c>
      <c r="C48" s="3" t="s">
        <v>127</v>
      </c>
      <c r="D48" s="168">
        <v>2252</v>
      </c>
      <c r="E48" s="7">
        <f t="shared" si="16"/>
        <v>3.3600000000000003</v>
      </c>
      <c r="F48" s="7">
        <f t="shared" si="0"/>
        <v>3.36</v>
      </c>
      <c r="G48" s="69">
        <f t="shared" si="1"/>
        <v>90800.64</v>
      </c>
      <c r="H48" s="6">
        <v>0.3</v>
      </c>
      <c r="I48" s="69">
        <f t="shared" si="2"/>
        <v>8107.200000000001</v>
      </c>
      <c r="J48" s="6">
        <v>0.2</v>
      </c>
      <c r="K48" s="69">
        <f t="shared" si="3"/>
        <v>5404.8</v>
      </c>
      <c r="L48" s="6">
        <v>0.4</v>
      </c>
      <c r="M48" s="69">
        <f t="shared" si="4"/>
        <v>10809.6</v>
      </c>
      <c r="N48" s="6">
        <v>0.2</v>
      </c>
      <c r="O48" s="69">
        <f t="shared" si="5"/>
        <v>5404.8</v>
      </c>
      <c r="P48" s="6">
        <v>0.2</v>
      </c>
      <c r="Q48" s="69">
        <f t="shared" si="6"/>
        <v>5404.8</v>
      </c>
      <c r="R48" s="7">
        <v>0.36</v>
      </c>
      <c r="S48" s="69">
        <f t="shared" si="7"/>
        <v>9728.64</v>
      </c>
      <c r="T48" s="7">
        <v>0.2</v>
      </c>
      <c r="U48" s="69">
        <f t="shared" si="8"/>
        <v>5404.8</v>
      </c>
      <c r="V48" s="6">
        <f t="shared" si="15"/>
        <v>41</v>
      </c>
      <c r="W48" s="3" t="s">
        <v>127</v>
      </c>
      <c r="X48" s="168">
        <v>2252</v>
      </c>
      <c r="Y48" s="6">
        <v>0.5</v>
      </c>
      <c r="Z48" s="69">
        <f t="shared" si="9"/>
        <v>13512</v>
      </c>
      <c r="AA48" s="2">
        <v>0.35</v>
      </c>
      <c r="AB48" s="69">
        <f t="shared" si="10"/>
        <v>9458.4</v>
      </c>
      <c r="AC48" s="7">
        <v>0.4</v>
      </c>
      <c r="AD48" s="69">
        <f t="shared" si="11"/>
        <v>10809.6</v>
      </c>
      <c r="AE48" s="6">
        <v>0.25</v>
      </c>
      <c r="AF48" s="69">
        <f t="shared" si="12"/>
        <v>6756</v>
      </c>
      <c r="AG48" s="2"/>
      <c r="AH48" s="17"/>
      <c r="AI48" s="2"/>
      <c r="AJ48" s="2"/>
    </row>
    <row r="49" spans="1:36" ht="12.75">
      <c r="A49" s="6">
        <f t="shared" si="13"/>
        <v>42</v>
      </c>
      <c r="B49" s="6">
        <f t="shared" si="14"/>
        <v>42</v>
      </c>
      <c r="C49" s="3" t="s">
        <v>128</v>
      </c>
      <c r="D49" s="80">
        <v>5744.1</v>
      </c>
      <c r="E49" s="7">
        <f t="shared" si="16"/>
        <v>2.44</v>
      </c>
      <c r="F49" s="7">
        <f t="shared" si="0"/>
        <v>2.44</v>
      </c>
      <c r="G49" s="69">
        <f t="shared" si="1"/>
        <v>168187.248</v>
      </c>
      <c r="H49" s="2">
        <v>0.34</v>
      </c>
      <c r="I49" s="69">
        <f t="shared" si="2"/>
        <v>23435.928000000004</v>
      </c>
      <c r="J49" s="6">
        <v>0.1</v>
      </c>
      <c r="K49" s="69">
        <f t="shared" si="3"/>
        <v>6892.920000000001</v>
      </c>
      <c r="L49" s="6">
        <v>0.1</v>
      </c>
      <c r="M49" s="69">
        <f t="shared" si="4"/>
        <v>6892.920000000001</v>
      </c>
      <c r="N49" s="6">
        <v>0.1</v>
      </c>
      <c r="O49" s="69">
        <f t="shared" si="5"/>
        <v>6892.920000000001</v>
      </c>
      <c r="P49" s="6">
        <v>0.1</v>
      </c>
      <c r="Q49" s="69">
        <f t="shared" si="6"/>
        <v>6892.920000000001</v>
      </c>
      <c r="R49" s="7">
        <v>0.36</v>
      </c>
      <c r="S49" s="69">
        <f t="shared" si="7"/>
        <v>24814.512000000002</v>
      </c>
      <c r="T49" s="7">
        <v>0.2</v>
      </c>
      <c r="U49" s="69">
        <f t="shared" si="8"/>
        <v>13785.840000000002</v>
      </c>
      <c r="V49" s="6">
        <f t="shared" si="15"/>
        <v>42</v>
      </c>
      <c r="W49" s="3" t="s">
        <v>128</v>
      </c>
      <c r="X49" s="80">
        <v>5744.1</v>
      </c>
      <c r="Y49" s="6">
        <v>0.7</v>
      </c>
      <c r="Z49" s="69">
        <f t="shared" si="9"/>
        <v>48250.44</v>
      </c>
      <c r="AA49" s="2">
        <v>0.29</v>
      </c>
      <c r="AB49" s="69">
        <f t="shared" si="10"/>
        <v>19989.468</v>
      </c>
      <c r="AC49" s="7">
        <v>0.05</v>
      </c>
      <c r="AD49" s="69">
        <f t="shared" si="11"/>
        <v>3446.4600000000005</v>
      </c>
      <c r="AE49" s="6">
        <v>0.1</v>
      </c>
      <c r="AF49" s="69">
        <f t="shared" si="12"/>
        <v>6892.920000000001</v>
      </c>
      <c r="AG49" s="2"/>
      <c r="AH49" s="17"/>
      <c r="AI49" s="6"/>
      <c r="AJ49" s="2"/>
    </row>
    <row r="50" spans="1:36" ht="12.75">
      <c r="A50" s="6">
        <f t="shared" si="13"/>
        <v>43</v>
      </c>
      <c r="B50" s="6">
        <f t="shared" si="14"/>
        <v>43</v>
      </c>
      <c r="C50" s="3" t="s">
        <v>27</v>
      </c>
      <c r="D50" s="12">
        <v>6008.7</v>
      </c>
      <c r="E50" s="7">
        <f t="shared" si="16"/>
        <v>2.85</v>
      </c>
      <c r="F50" s="7">
        <f t="shared" si="0"/>
        <v>2.850000000000001</v>
      </c>
      <c r="G50" s="69">
        <f t="shared" si="1"/>
        <v>205497.54000000004</v>
      </c>
      <c r="H50" s="2">
        <v>0.4</v>
      </c>
      <c r="I50" s="69">
        <f t="shared" si="2"/>
        <v>28841.760000000002</v>
      </c>
      <c r="J50" s="6">
        <v>0.15</v>
      </c>
      <c r="K50" s="69">
        <f t="shared" si="3"/>
        <v>10815.66</v>
      </c>
      <c r="L50" s="6">
        <v>0.3</v>
      </c>
      <c r="M50" s="69">
        <f t="shared" si="4"/>
        <v>21631.32</v>
      </c>
      <c r="N50" s="6">
        <v>0.2</v>
      </c>
      <c r="O50" s="69">
        <f t="shared" si="5"/>
        <v>14420.880000000001</v>
      </c>
      <c r="P50" s="6">
        <v>0.3</v>
      </c>
      <c r="Q50" s="69">
        <f t="shared" si="6"/>
        <v>21631.32</v>
      </c>
      <c r="R50" s="7">
        <v>0.36</v>
      </c>
      <c r="S50" s="69">
        <f t="shared" si="7"/>
        <v>25957.584000000003</v>
      </c>
      <c r="T50" s="7">
        <v>0.2</v>
      </c>
      <c r="U50" s="69">
        <f t="shared" si="8"/>
        <v>14420.880000000001</v>
      </c>
      <c r="V50" s="6">
        <f t="shared" si="15"/>
        <v>43</v>
      </c>
      <c r="W50" s="3" t="s">
        <v>27</v>
      </c>
      <c r="X50" s="12">
        <v>6008.7</v>
      </c>
      <c r="Y50" s="6">
        <v>0.4</v>
      </c>
      <c r="Z50" s="69">
        <f t="shared" si="9"/>
        <v>28841.760000000002</v>
      </c>
      <c r="AA50" s="2">
        <v>0.29</v>
      </c>
      <c r="AB50" s="69">
        <f t="shared" si="10"/>
        <v>20910.275999999998</v>
      </c>
      <c r="AC50" s="7">
        <v>0.15</v>
      </c>
      <c r="AD50" s="69">
        <f t="shared" si="11"/>
        <v>10815.66</v>
      </c>
      <c r="AE50" s="6">
        <v>0.1</v>
      </c>
      <c r="AF50" s="69">
        <f t="shared" si="12"/>
        <v>7210.4400000000005</v>
      </c>
      <c r="AG50" s="2"/>
      <c r="AH50" s="17"/>
      <c r="AI50" s="6"/>
      <c r="AJ50" s="2"/>
    </row>
    <row r="51" spans="1:36" ht="12.75">
      <c r="A51" s="6">
        <f t="shared" si="13"/>
        <v>44</v>
      </c>
      <c r="B51" s="6">
        <f t="shared" si="14"/>
        <v>44</v>
      </c>
      <c r="C51" s="3" t="s">
        <v>28</v>
      </c>
      <c r="D51" s="12">
        <v>5460.9</v>
      </c>
      <c r="E51" s="7">
        <f t="shared" si="16"/>
        <v>2.85</v>
      </c>
      <c r="F51" s="7">
        <f t="shared" si="0"/>
        <v>2.8499999999999996</v>
      </c>
      <c r="G51" s="69">
        <f t="shared" si="1"/>
        <v>186762.77999999997</v>
      </c>
      <c r="H51" s="2">
        <v>0.4</v>
      </c>
      <c r="I51" s="69">
        <f t="shared" si="2"/>
        <v>26212.32</v>
      </c>
      <c r="J51" s="6">
        <v>0.15</v>
      </c>
      <c r="K51" s="69">
        <f t="shared" si="3"/>
        <v>9829.619999999999</v>
      </c>
      <c r="L51" s="6">
        <v>0.3</v>
      </c>
      <c r="M51" s="69">
        <f t="shared" si="4"/>
        <v>19659.239999999998</v>
      </c>
      <c r="N51" s="6">
        <v>0.2</v>
      </c>
      <c r="O51" s="69">
        <f t="shared" si="5"/>
        <v>13106.16</v>
      </c>
      <c r="P51" s="6">
        <v>0.3</v>
      </c>
      <c r="Q51" s="69">
        <f t="shared" si="6"/>
        <v>19659.239999999998</v>
      </c>
      <c r="R51" s="7">
        <v>0.36</v>
      </c>
      <c r="S51" s="69">
        <f t="shared" si="7"/>
        <v>23591.087999999996</v>
      </c>
      <c r="T51" s="7">
        <v>0.2</v>
      </c>
      <c r="U51" s="69">
        <f t="shared" si="8"/>
        <v>13106.16</v>
      </c>
      <c r="V51" s="6">
        <f t="shared" si="15"/>
        <v>44</v>
      </c>
      <c r="W51" s="3" t="s">
        <v>28</v>
      </c>
      <c r="X51" s="12">
        <v>5460.9</v>
      </c>
      <c r="Y51" s="6">
        <v>0.4</v>
      </c>
      <c r="Z51" s="69">
        <f t="shared" si="9"/>
        <v>26212.32</v>
      </c>
      <c r="AA51" s="2">
        <v>0.29</v>
      </c>
      <c r="AB51" s="69">
        <f t="shared" si="10"/>
        <v>19003.931999999997</v>
      </c>
      <c r="AC51" s="7">
        <v>0.15</v>
      </c>
      <c r="AD51" s="69">
        <f t="shared" si="11"/>
        <v>9829.619999999999</v>
      </c>
      <c r="AE51" s="6">
        <v>0.1</v>
      </c>
      <c r="AF51" s="69">
        <f t="shared" si="12"/>
        <v>6553.08</v>
      </c>
      <c r="AG51" s="2"/>
      <c r="AH51" s="17"/>
      <c r="AI51" s="6"/>
      <c r="AJ51" s="2"/>
    </row>
    <row r="52" spans="1:36" ht="12.75">
      <c r="A52" s="6">
        <f t="shared" si="13"/>
        <v>45</v>
      </c>
      <c r="B52" s="6">
        <f t="shared" si="14"/>
        <v>45</v>
      </c>
      <c r="C52" s="3" t="s">
        <v>109</v>
      </c>
      <c r="D52" s="80">
        <v>1451.7</v>
      </c>
      <c r="E52" s="7">
        <f t="shared" si="16"/>
        <v>4.86</v>
      </c>
      <c r="F52" s="7">
        <f t="shared" si="0"/>
        <v>4.86</v>
      </c>
      <c r="G52" s="69">
        <f t="shared" si="1"/>
        <v>84663.144</v>
      </c>
      <c r="H52" s="6">
        <v>0.5</v>
      </c>
      <c r="I52" s="69">
        <f t="shared" si="2"/>
        <v>8710.2</v>
      </c>
      <c r="J52" s="6">
        <v>0.34</v>
      </c>
      <c r="K52" s="69">
        <f t="shared" si="3"/>
        <v>5922.936000000001</v>
      </c>
      <c r="L52" s="6">
        <v>0.59</v>
      </c>
      <c r="M52" s="69">
        <f t="shared" si="4"/>
        <v>10278.036</v>
      </c>
      <c r="N52" s="6"/>
      <c r="O52" s="69">
        <f t="shared" si="5"/>
        <v>0</v>
      </c>
      <c r="P52" s="6">
        <v>0.3</v>
      </c>
      <c r="Q52" s="69">
        <f t="shared" si="6"/>
        <v>5226.12</v>
      </c>
      <c r="R52" s="7">
        <v>0.36</v>
      </c>
      <c r="S52" s="69">
        <f t="shared" si="7"/>
        <v>6271.343999999999</v>
      </c>
      <c r="T52" s="7">
        <v>0.3</v>
      </c>
      <c r="U52" s="69">
        <f t="shared" si="8"/>
        <v>5226.12</v>
      </c>
      <c r="V52" s="6">
        <f t="shared" si="15"/>
        <v>45</v>
      </c>
      <c r="W52" s="3" t="s">
        <v>109</v>
      </c>
      <c r="X52" s="80">
        <v>1451.7</v>
      </c>
      <c r="Y52" s="6">
        <v>0.6</v>
      </c>
      <c r="Z52" s="69">
        <f t="shared" si="9"/>
        <v>10452.24</v>
      </c>
      <c r="AA52" s="2">
        <v>0.9</v>
      </c>
      <c r="AB52" s="69">
        <f t="shared" si="10"/>
        <v>15678.36</v>
      </c>
      <c r="AC52" s="7">
        <v>0.67</v>
      </c>
      <c r="AD52" s="69">
        <f t="shared" si="11"/>
        <v>11671.668000000001</v>
      </c>
      <c r="AE52" s="6">
        <v>0.3</v>
      </c>
      <c r="AF52" s="69">
        <f t="shared" si="12"/>
        <v>5226.12</v>
      </c>
      <c r="AG52" s="2"/>
      <c r="AH52" s="17"/>
      <c r="AI52" s="2"/>
      <c r="AJ52" s="2"/>
    </row>
    <row r="53" spans="1:36" ht="12.75">
      <c r="A53" s="6">
        <f t="shared" si="13"/>
        <v>46</v>
      </c>
      <c r="B53" s="6">
        <f t="shared" si="14"/>
        <v>46</v>
      </c>
      <c r="C53" s="3" t="s">
        <v>110</v>
      </c>
      <c r="D53" s="80">
        <v>1470.4</v>
      </c>
      <c r="E53" s="7">
        <f t="shared" si="16"/>
        <v>4.82</v>
      </c>
      <c r="F53" s="7">
        <f t="shared" si="0"/>
        <v>4.820000000000001</v>
      </c>
      <c r="G53" s="69">
        <f t="shared" si="1"/>
        <v>85047.93600000003</v>
      </c>
      <c r="H53" s="6">
        <v>0.5</v>
      </c>
      <c r="I53" s="69">
        <f t="shared" si="2"/>
        <v>8822.400000000001</v>
      </c>
      <c r="J53" s="6">
        <v>0.3</v>
      </c>
      <c r="K53" s="69">
        <f t="shared" si="3"/>
        <v>5293.4400000000005</v>
      </c>
      <c r="L53" s="6">
        <v>0.59</v>
      </c>
      <c r="M53" s="69">
        <f t="shared" si="4"/>
        <v>10410.432</v>
      </c>
      <c r="N53" s="6"/>
      <c r="O53" s="69">
        <f t="shared" si="5"/>
        <v>0</v>
      </c>
      <c r="P53" s="6">
        <v>0.3</v>
      </c>
      <c r="Q53" s="69">
        <f t="shared" si="6"/>
        <v>5293.4400000000005</v>
      </c>
      <c r="R53" s="7">
        <v>0.36</v>
      </c>
      <c r="S53" s="69">
        <f t="shared" si="7"/>
        <v>6352.128000000001</v>
      </c>
      <c r="T53" s="7">
        <v>0.3</v>
      </c>
      <c r="U53" s="69">
        <f t="shared" si="8"/>
        <v>5293.4400000000005</v>
      </c>
      <c r="V53" s="6">
        <f t="shared" si="15"/>
        <v>46</v>
      </c>
      <c r="W53" s="3" t="s">
        <v>110</v>
      </c>
      <c r="X53" s="80">
        <v>1470.4</v>
      </c>
      <c r="Y53" s="6">
        <v>0.6</v>
      </c>
      <c r="Z53" s="69">
        <f t="shared" si="9"/>
        <v>10586.880000000001</v>
      </c>
      <c r="AA53" s="2">
        <v>0.9</v>
      </c>
      <c r="AB53" s="69">
        <f t="shared" si="10"/>
        <v>15880.320000000002</v>
      </c>
      <c r="AC53" s="7">
        <v>0.67</v>
      </c>
      <c r="AD53" s="69">
        <f t="shared" si="11"/>
        <v>11822.016000000001</v>
      </c>
      <c r="AE53" s="6">
        <v>0.3</v>
      </c>
      <c r="AF53" s="69">
        <f t="shared" si="12"/>
        <v>5293.4400000000005</v>
      </c>
      <c r="AG53" s="2"/>
      <c r="AH53" s="17"/>
      <c r="AI53" s="2"/>
      <c r="AJ53" s="2"/>
    </row>
    <row r="54" spans="1:36" ht="12.75">
      <c r="A54" s="6">
        <f t="shared" si="13"/>
        <v>47</v>
      </c>
      <c r="B54" s="6">
        <f t="shared" si="14"/>
        <v>47</v>
      </c>
      <c r="C54" s="3" t="s">
        <v>114</v>
      </c>
      <c r="D54" s="80">
        <v>2573.8</v>
      </c>
      <c r="E54" s="7">
        <f t="shared" si="16"/>
        <v>4.2</v>
      </c>
      <c r="F54" s="7">
        <f t="shared" si="0"/>
        <v>4.2</v>
      </c>
      <c r="G54" s="69">
        <f t="shared" si="1"/>
        <v>129719.52</v>
      </c>
      <c r="H54" s="6">
        <v>0.5</v>
      </c>
      <c r="I54" s="69">
        <f t="shared" si="2"/>
        <v>15442.800000000001</v>
      </c>
      <c r="J54" s="6">
        <v>0.3</v>
      </c>
      <c r="K54" s="69">
        <f t="shared" si="3"/>
        <v>9265.68</v>
      </c>
      <c r="L54" s="6">
        <v>0.59</v>
      </c>
      <c r="M54" s="69">
        <f t="shared" si="4"/>
        <v>18222.504</v>
      </c>
      <c r="N54" s="6">
        <v>0.1</v>
      </c>
      <c r="O54" s="69">
        <f t="shared" si="5"/>
        <v>3088.5600000000004</v>
      </c>
      <c r="P54" s="6">
        <v>0.2</v>
      </c>
      <c r="Q54" s="69">
        <f t="shared" si="6"/>
        <v>6177.120000000001</v>
      </c>
      <c r="R54" s="7">
        <v>0.36</v>
      </c>
      <c r="S54" s="69">
        <f t="shared" si="7"/>
        <v>11118.815999999999</v>
      </c>
      <c r="T54" s="7">
        <v>0.2</v>
      </c>
      <c r="U54" s="69">
        <f t="shared" si="8"/>
        <v>6177.120000000001</v>
      </c>
      <c r="V54" s="6">
        <f t="shared" si="15"/>
        <v>47</v>
      </c>
      <c r="W54" s="3" t="s">
        <v>114</v>
      </c>
      <c r="X54" s="80">
        <v>2573.8</v>
      </c>
      <c r="Y54" s="6">
        <v>0.5</v>
      </c>
      <c r="Z54" s="69">
        <f t="shared" si="9"/>
        <v>15442.800000000001</v>
      </c>
      <c r="AA54" s="2">
        <v>0.7</v>
      </c>
      <c r="AB54" s="69">
        <f t="shared" si="10"/>
        <v>21619.920000000002</v>
      </c>
      <c r="AC54" s="7">
        <v>0.5</v>
      </c>
      <c r="AD54" s="69">
        <f t="shared" si="11"/>
        <v>15442.800000000001</v>
      </c>
      <c r="AE54" s="6">
        <v>0.25</v>
      </c>
      <c r="AF54" s="69">
        <f t="shared" si="12"/>
        <v>7721.400000000001</v>
      </c>
      <c r="AG54" s="2"/>
      <c r="AH54" s="17"/>
      <c r="AI54" s="2"/>
      <c r="AJ54" s="2"/>
    </row>
    <row r="55" spans="1:36" ht="12.75">
      <c r="A55" s="6">
        <f t="shared" si="13"/>
        <v>48</v>
      </c>
      <c r="B55" s="6">
        <f t="shared" si="14"/>
        <v>48</v>
      </c>
      <c r="C55" s="3" t="s">
        <v>115</v>
      </c>
      <c r="D55" s="80">
        <v>2491.8</v>
      </c>
      <c r="E55" s="7">
        <f>H55+J55+L55+N55+P55+R55+T55+Y55+AA55+AC55+AE55</f>
        <v>4.300000000000001</v>
      </c>
      <c r="F55" s="7">
        <f t="shared" si="0"/>
        <v>4.3</v>
      </c>
      <c r="G55" s="69">
        <f t="shared" si="1"/>
        <v>128576.88</v>
      </c>
      <c r="H55" s="6">
        <v>0.4</v>
      </c>
      <c r="I55" s="69">
        <f t="shared" si="2"/>
        <v>11960.640000000001</v>
      </c>
      <c r="J55" s="6">
        <v>0.3</v>
      </c>
      <c r="K55" s="69">
        <f t="shared" si="3"/>
        <v>8970.480000000001</v>
      </c>
      <c r="L55" s="6">
        <v>0.59</v>
      </c>
      <c r="M55" s="69">
        <f t="shared" si="4"/>
        <v>17641.944</v>
      </c>
      <c r="N55" s="6">
        <v>0.1</v>
      </c>
      <c r="O55" s="69">
        <f t="shared" si="5"/>
        <v>2990.1600000000003</v>
      </c>
      <c r="P55" s="6">
        <v>0.3</v>
      </c>
      <c r="Q55" s="69">
        <f t="shared" si="6"/>
        <v>8970.480000000001</v>
      </c>
      <c r="R55" s="7">
        <v>0.36</v>
      </c>
      <c r="S55" s="69">
        <f t="shared" si="7"/>
        <v>10764.576000000001</v>
      </c>
      <c r="T55" s="7">
        <v>0.2</v>
      </c>
      <c r="U55" s="69">
        <f t="shared" si="8"/>
        <v>5980.320000000001</v>
      </c>
      <c r="V55" s="6">
        <f t="shared" si="15"/>
        <v>48</v>
      </c>
      <c r="W55" s="3" t="s">
        <v>115</v>
      </c>
      <c r="X55" s="80">
        <v>2491.8</v>
      </c>
      <c r="Y55" s="6">
        <v>0.6</v>
      </c>
      <c r="Z55" s="69">
        <f t="shared" si="9"/>
        <v>17940.960000000003</v>
      </c>
      <c r="AA55" s="2">
        <v>0.7</v>
      </c>
      <c r="AB55" s="69">
        <f t="shared" si="10"/>
        <v>20931.12</v>
      </c>
      <c r="AC55" s="7">
        <v>0.5</v>
      </c>
      <c r="AD55" s="69">
        <f t="shared" si="11"/>
        <v>14950.800000000001</v>
      </c>
      <c r="AE55" s="6">
        <v>0.25</v>
      </c>
      <c r="AF55" s="69">
        <f t="shared" si="12"/>
        <v>7475.400000000001</v>
      </c>
      <c r="AG55" s="2"/>
      <c r="AH55" s="17"/>
      <c r="AI55" s="2"/>
      <c r="AJ55" s="2"/>
    </row>
    <row r="56" spans="1:36" ht="12.75">
      <c r="A56" s="6">
        <f t="shared" si="13"/>
        <v>49</v>
      </c>
      <c r="B56" s="6">
        <f t="shared" si="14"/>
        <v>49</v>
      </c>
      <c r="C56" s="3" t="s">
        <v>116</v>
      </c>
      <c r="D56" s="80">
        <v>2544.5</v>
      </c>
      <c r="E56" s="7">
        <f>H56+J56+L56+N56+P56+R56+T56+Y56+AA56+AC56+AE56</f>
        <v>4.300000000000001</v>
      </c>
      <c r="F56" s="7">
        <f t="shared" si="0"/>
        <v>4.3</v>
      </c>
      <c r="G56" s="69">
        <f t="shared" si="1"/>
        <v>131296.19999999998</v>
      </c>
      <c r="H56" s="6">
        <v>0.4</v>
      </c>
      <c r="I56" s="69">
        <f t="shared" si="2"/>
        <v>12213.6</v>
      </c>
      <c r="J56" s="6">
        <v>0.3</v>
      </c>
      <c r="K56" s="69">
        <f t="shared" si="3"/>
        <v>9160.2</v>
      </c>
      <c r="L56" s="6">
        <v>0.59</v>
      </c>
      <c r="M56" s="69">
        <f t="shared" si="4"/>
        <v>18015.059999999998</v>
      </c>
      <c r="N56" s="6">
        <v>0.1</v>
      </c>
      <c r="O56" s="69">
        <f t="shared" si="5"/>
        <v>3053.4</v>
      </c>
      <c r="P56" s="6">
        <v>0.3</v>
      </c>
      <c r="Q56" s="69">
        <f t="shared" si="6"/>
        <v>9160.2</v>
      </c>
      <c r="R56" s="7">
        <v>0.36</v>
      </c>
      <c r="S56" s="69">
        <f t="shared" si="7"/>
        <v>10992.24</v>
      </c>
      <c r="T56" s="7">
        <v>0.2</v>
      </c>
      <c r="U56" s="69">
        <f t="shared" si="8"/>
        <v>6106.8</v>
      </c>
      <c r="V56" s="6">
        <f t="shared" si="15"/>
        <v>49</v>
      </c>
      <c r="W56" s="3" t="s">
        <v>116</v>
      </c>
      <c r="X56" s="80">
        <v>2544.5</v>
      </c>
      <c r="Y56" s="6">
        <v>0.6</v>
      </c>
      <c r="Z56" s="69">
        <f t="shared" si="9"/>
        <v>18320.4</v>
      </c>
      <c r="AA56" s="2">
        <v>0.7</v>
      </c>
      <c r="AB56" s="69">
        <f t="shared" si="10"/>
        <v>21373.8</v>
      </c>
      <c r="AC56" s="7">
        <v>0.5</v>
      </c>
      <c r="AD56" s="69">
        <f t="shared" si="11"/>
        <v>15267</v>
      </c>
      <c r="AE56" s="6">
        <v>0.25</v>
      </c>
      <c r="AF56" s="69">
        <f t="shared" si="12"/>
        <v>7633.5</v>
      </c>
      <c r="AG56" s="2"/>
      <c r="AH56" s="17"/>
      <c r="AI56" s="2"/>
      <c r="AJ56" s="2"/>
    </row>
    <row r="57" spans="1:36" s="45" customFormat="1" ht="12.75">
      <c r="A57" s="114"/>
      <c r="B57" s="24"/>
      <c r="C57" s="25" t="s">
        <v>29</v>
      </c>
      <c r="D57" s="171">
        <f>SUM(D58:D143)</f>
        <v>204299.12000000002</v>
      </c>
      <c r="E57" s="32">
        <f>H57+J57+L57+N57+P57+R57+T57+Y57+AA57+AC57+AE57</f>
        <v>3.474808472009081</v>
      </c>
      <c r="F57" s="32">
        <f>G57/D57/12</f>
        <v>3.4748084720090815</v>
      </c>
      <c r="G57" s="70">
        <f>SUM(G58:G143)</f>
        <v>8518803.756000001</v>
      </c>
      <c r="H57" s="26">
        <f>I57/D57/12</f>
        <v>0.36677693472198997</v>
      </c>
      <c r="I57" s="70">
        <f>SUM(I58:I143)</f>
        <v>899186.4600000001</v>
      </c>
      <c r="J57" s="26">
        <f>K57/D57/12</f>
        <v>0.32707676371782707</v>
      </c>
      <c r="K57" s="70">
        <f>SUM(K58:K143)</f>
        <v>801857.9400000001</v>
      </c>
      <c r="L57" s="26">
        <f>M57/D57/12</f>
        <v>0.46863195005441044</v>
      </c>
      <c r="M57" s="70">
        <f>SUM(M58:M143)</f>
        <v>1148893.1400000001</v>
      </c>
      <c r="N57" s="26">
        <f>O57/D57/12</f>
        <v>0.12816524907204688</v>
      </c>
      <c r="O57" s="70">
        <f>SUM(O58:O143)</f>
        <v>314208.5712</v>
      </c>
      <c r="P57" s="26">
        <f>Q57/D57/12</f>
        <v>0.22905022302592395</v>
      </c>
      <c r="Q57" s="70">
        <f>SUM(Q58:Q143)</f>
        <v>561537.1080000001</v>
      </c>
      <c r="R57" s="26">
        <f>S57/D57/12</f>
        <v>0.3599999999999999</v>
      </c>
      <c r="S57" s="70">
        <f>SUM(S58:S143)</f>
        <v>882572.1983999998</v>
      </c>
      <c r="T57" s="26">
        <f>U57/D57/12</f>
        <v>0.16520444189872188</v>
      </c>
      <c r="U57" s="70">
        <f>SUM(U58:U143)</f>
        <v>405013.46520000015</v>
      </c>
      <c r="V57" s="24"/>
      <c r="W57" s="25" t="s">
        <v>29</v>
      </c>
      <c r="X57" s="171">
        <f>SUM(X58:X143)</f>
        <v>204299.12000000002</v>
      </c>
      <c r="Y57" s="26">
        <f>Z57/D57/12</f>
        <v>0.6389127804368416</v>
      </c>
      <c r="Z57" s="70">
        <f>SUM(Z58:Z143)</f>
        <v>1566351.8255999996</v>
      </c>
      <c r="AA57" s="26">
        <f>AB57/D57/12</f>
        <v>0.46012533485215207</v>
      </c>
      <c r="AB57" s="70">
        <f>SUM(AB58:AB143)</f>
        <v>1128038.412</v>
      </c>
      <c r="AC57" s="26">
        <f>AD57/D57/12</f>
        <v>0.18299105351016687</v>
      </c>
      <c r="AD57" s="70">
        <f>SUM(AD58:AD143)</f>
        <v>448618.9344000001</v>
      </c>
      <c r="AE57" s="26">
        <f>AF57/D57/12</f>
        <v>0.14787374071900067</v>
      </c>
      <c r="AF57" s="70">
        <f>SUM(AF58:AF143)</f>
        <v>362525.70120000007</v>
      </c>
      <c r="AG57" s="24">
        <f>AH57/D57/12</f>
        <v>0</v>
      </c>
      <c r="AH57" s="70">
        <f>SUM(AH58:AH143)</f>
        <v>0</v>
      </c>
      <c r="AI57" s="24"/>
      <c r="AJ57" s="70"/>
    </row>
    <row r="58" spans="1:36" ht="12.75">
      <c r="A58" s="6">
        <f>A56+1</f>
        <v>50</v>
      </c>
      <c r="B58" s="6">
        <v>1</v>
      </c>
      <c r="C58" s="3" t="s">
        <v>167</v>
      </c>
      <c r="D58" s="80">
        <v>2014.9</v>
      </c>
      <c r="E58" s="7">
        <f>H58+J58+L58+N58+P58+R58+T58+Y58+AA58+AC58+AE58</f>
        <v>3.9999999999999996</v>
      </c>
      <c r="F58" s="7">
        <f aca="true" t="shared" si="17" ref="F58:F121">G58/D58/12</f>
        <v>4.000000000000001</v>
      </c>
      <c r="G58" s="69">
        <f aca="true" t="shared" si="18" ref="G58:G121">I58+K58+M58+O58+Q58+S58+U58+Z58+AD58+AF58+AB58</f>
        <v>96715.20000000001</v>
      </c>
      <c r="H58" s="6">
        <v>0.4</v>
      </c>
      <c r="I58" s="69">
        <f t="shared" si="2"/>
        <v>9671.52</v>
      </c>
      <c r="J58" s="6">
        <v>0.2</v>
      </c>
      <c r="K58" s="69">
        <f t="shared" si="3"/>
        <v>4835.76</v>
      </c>
      <c r="L58" s="6">
        <v>0.49</v>
      </c>
      <c r="M58" s="69">
        <f t="shared" si="4"/>
        <v>11847.612000000001</v>
      </c>
      <c r="N58" s="6"/>
      <c r="O58" s="69">
        <f t="shared" si="5"/>
        <v>0</v>
      </c>
      <c r="P58" s="6">
        <v>0.2</v>
      </c>
      <c r="Q58" s="69">
        <f t="shared" si="6"/>
        <v>4835.76</v>
      </c>
      <c r="R58" s="7">
        <v>0.36</v>
      </c>
      <c r="S58" s="69">
        <f t="shared" si="7"/>
        <v>8704.368</v>
      </c>
      <c r="T58" s="7">
        <v>0.2</v>
      </c>
      <c r="U58" s="69">
        <f t="shared" si="8"/>
        <v>4835.76</v>
      </c>
      <c r="V58" s="6">
        <v>1</v>
      </c>
      <c r="W58" s="3" t="s">
        <v>167</v>
      </c>
      <c r="X58" s="80">
        <v>2014.9</v>
      </c>
      <c r="Y58" s="7">
        <v>0.5</v>
      </c>
      <c r="Z58" s="69">
        <f t="shared" si="9"/>
        <v>12089.400000000001</v>
      </c>
      <c r="AA58" s="2">
        <v>0.8</v>
      </c>
      <c r="AB58" s="69">
        <f t="shared" si="10"/>
        <v>19343.04</v>
      </c>
      <c r="AC58" s="7">
        <v>0.6</v>
      </c>
      <c r="AD58" s="69">
        <f t="shared" si="11"/>
        <v>14507.28</v>
      </c>
      <c r="AE58" s="6">
        <v>0.25</v>
      </c>
      <c r="AF58" s="69">
        <f t="shared" si="12"/>
        <v>6044.700000000001</v>
      </c>
      <c r="AG58" s="2"/>
      <c r="AH58" s="17"/>
      <c r="AI58" s="2"/>
      <c r="AJ58" s="2"/>
    </row>
    <row r="59" spans="1:36" ht="12.75">
      <c r="A59" s="6">
        <f>A58+1</f>
        <v>51</v>
      </c>
      <c r="B59" s="6">
        <f>B58+1</f>
        <v>2</v>
      </c>
      <c r="C59" s="3" t="s">
        <v>31</v>
      </c>
      <c r="D59" s="80">
        <v>5216.4</v>
      </c>
      <c r="E59" s="7">
        <f aca="true" t="shared" si="19" ref="E59:E121">H59+J59+L59+N59+P59+R59+T59+Y59+AA59+AC59+AE59</f>
        <v>3.1</v>
      </c>
      <c r="F59" s="7">
        <f t="shared" si="17"/>
        <v>3.0999999999999996</v>
      </c>
      <c r="G59" s="69">
        <f t="shared" si="18"/>
        <v>194050.07999999996</v>
      </c>
      <c r="H59" s="6">
        <v>0.21</v>
      </c>
      <c r="I59" s="69">
        <f t="shared" si="2"/>
        <v>13145.328</v>
      </c>
      <c r="J59" s="6">
        <v>0.25</v>
      </c>
      <c r="K59" s="69">
        <f t="shared" si="3"/>
        <v>15649.199999999999</v>
      </c>
      <c r="L59" s="6">
        <v>0.42</v>
      </c>
      <c r="M59" s="69">
        <f t="shared" si="4"/>
        <v>26290.656</v>
      </c>
      <c r="N59" s="6">
        <v>0.12</v>
      </c>
      <c r="O59" s="69">
        <f t="shared" si="5"/>
        <v>7511.616</v>
      </c>
      <c r="P59" s="6">
        <v>0.18</v>
      </c>
      <c r="Q59" s="69">
        <f t="shared" si="6"/>
        <v>11267.423999999999</v>
      </c>
      <c r="R59" s="7">
        <v>0.36</v>
      </c>
      <c r="S59" s="69">
        <f t="shared" si="7"/>
        <v>22534.847999999998</v>
      </c>
      <c r="T59" s="7">
        <v>0.2</v>
      </c>
      <c r="U59" s="69">
        <f t="shared" si="8"/>
        <v>12519.36</v>
      </c>
      <c r="V59" s="6">
        <f>V58+1</f>
        <v>2</v>
      </c>
      <c r="W59" s="3" t="s">
        <v>31</v>
      </c>
      <c r="X59" s="80">
        <v>5216.4</v>
      </c>
      <c r="Y59" s="6">
        <f>0.15+0.15+0.67</f>
        <v>0.97</v>
      </c>
      <c r="Z59" s="69">
        <f t="shared" si="9"/>
        <v>60718.89599999999</v>
      </c>
      <c r="AA59" s="21">
        <f>0.2+0.09</f>
        <v>0.29000000000000004</v>
      </c>
      <c r="AB59" s="69">
        <f t="shared" si="10"/>
        <v>18153.072</v>
      </c>
      <c r="AC59" s="7">
        <v>0.1</v>
      </c>
      <c r="AD59" s="69">
        <f t="shared" si="11"/>
        <v>6259.68</v>
      </c>
      <c r="AE59" s="6"/>
      <c r="AF59" s="69">
        <f t="shared" si="12"/>
        <v>0</v>
      </c>
      <c r="AG59" s="2"/>
      <c r="AH59" s="17"/>
      <c r="AI59" s="2"/>
      <c r="AJ59" s="2"/>
    </row>
    <row r="60" spans="1:36" ht="12.75">
      <c r="A60" s="6">
        <f>A59+1</f>
        <v>52</v>
      </c>
      <c r="B60" s="6">
        <f aca="true" t="shared" si="20" ref="B60:B77">B59+1</f>
        <v>3</v>
      </c>
      <c r="C60" s="3" t="s">
        <v>32</v>
      </c>
      <c r="D60" s="80">
        <v>1285.1</v>
      </c>
      <c r="E60" s="7">
        <f>H60+J60+L60+N60+P60+R60+T60+Y60+AA60+AC60+AE60</f>
        <v>2.21</v>
      </c>
      <c r="F60" s="7">
        <f t="shared" si="17"/>
        <v>2.21</v>
      </c>
      <c r="G60" s="69">
        <f t="shared" si="18"/>
        <v>34080.852</v>
      </c>
      <c r="H60" s="6">
        <v>0.25</v>
      </c>
      <c r="I60" s="69">
        <f t="shared" si="2"/>
        <v>3855.2999999999997</v>
      </c>
      <c r="J60" s="6">
        <v>0.25</v>
      </c>
      <c r="K60" s="69">
        <f t="shared" si="3"/>
        <v>3855.2999999999997</v>
      </c>
      <c r="L60" s="6">
        <v>0.26</v>
      </c>
      <c r="M60" s="69">
        <f t="shared" si="4"/>
        <v>4009.5119999999997</v>
      </c>
      <c r="N60" s="6"/>
      <c r="O60" s="69">
        <f t="shared" si="5"/>
        <v>0</v>
      </c>
      <c r="P60" s="6">
        <v>0.11</v>
      </c>
      <c r="Q60" s="69">
        <f t="shared" si="6"/>
        <v>1696.3319999999999</v>
      </c>
      <c r="R60" s="7">
        <v>0.36</v>
      </c>
      <c r="S60" s="69">
        <f t="shared" si="7"/>
        <v>5551.632</v>
      </c>
      <c r="T60" s="7">
        <v>0.12</v>
      </c>
      <c r="U60" s="69">
        <f t="shared" si="8"/>
        <v>1850.5439999999999</v>
      </c>
      <c r="V60" s="6">
        <f aca="true" t="shared" si="21" ref="V60:V77">V59+1</f>
        <v>3</v>
      </c>
      <c r="W60" s="3" t="s">
        <v>32</v>
      </c>
      <c r="X60" s="80">
        <v>1285.1</v>
      </c>
      <c r="Y60" s="7">
        <f>0.2+0.2+0.08</f>
        <v>0.48000000000000004</v>
      </c>
      <c r="Z60" s="69">
        <f t="shared" si="9"/>
        <v>7402.1759999999995</v>
      </c>
      <c r="AA60" s="21">
        <f>0.2+0.09</f>
        <v>0.29000000000000004</v>
      </c>
      <c r="AB60" s="69">
        <f t="shared" si="10"/>
        <v>4472.148</v>
      </c>
      <c r="AC60" s="7">
        <v>0.09</v>
      </c>
      <c r="AD60" s="69">
        <f t="shared" si="11"/>
        <v>1387.908</v>
      </c>
      <c r="AE60" s="6"/>
      <c r="AF60" s="69">
        <f t="shared" si="12"/>
        <v>0</v>
      </c>
      <c r="AG60" s="2"/>
      <c r="AH60" s="17"/>
      <c r="AI60" s="2"/>
      <c r="AJ60" s="2"/>
    </row>
    <row r="61" spans="1:36" ht="12.75">
      <c r="A61" s="6">
        <f aca="true" t="shared" si="22" ref="A61:A77">A60+1</f>
        <v>53</v>
      </c>
      <c r="B61" s="6">
        <f t="shared" si="20"/>
        <v>4</v>
      </c>
      <c r="C61" s="3" t="s">
        <v>33</v>
      </c>
      <c r="D61" s="80">
        <v>2630.6</v>
      </c>
      <c r="E61" s="7">
        <f>H61+J61+L61+N61+P61+R61+T61+Y61+AA61+AC61+AE61</f>
        <v>3</v>
      </c>
      <c r="F61" s="7">
        <f t="shared" si="17"/>
        <v>3</v>
      </c>
      <c r="G61" s="69">
        <f t="shared" si="18"/>
        <v>94701.6</v>
      </c>
      <c r="H61" s="6">
        <v>0.35</v>
      </c>
      <c r="I61" s="69">
        <f t="shared" si="2"/>
        <v>11048.519999999999</v>
      </c>
      <c r="J61" s="6">
        <v>0.3</v>
      </c>
      <c r="K61" s="69">
        <f t="shared" si="3"/>
        <v>9470.16</v>
      </c>
      <c r="L61" s="6">
        <v>0.38</v>
      </c>
      <c r="M61" s="69">
        <f t="shared" si="4"/>
        <v>11995.536</v>
      </c>
      <c r="N61" s="6"/>
      <c r="O61" s="69">
        <f t="shared" si="5"/>
        <v>0</v>
      </c>
      <c r="P61" s="6">
        <v>0.15</v>
      </c>
      <c r="Q61" s="69">
        <f t="shared" si="6"/>
        <v>4735.08</v>
      </c>
      <c r="R61" s="7">
        <v>0.36</v>
      </c>
      <c r="S61" s="69">
        <f t="shared" si="7"/>
        <v>11364.192</v>
      </c>
      <c r="T61" s="7">
        <v>0.2</v>
      </c>
      <c r="U61" s="69">
        <f t="shared" si="8"/>
        <v>6313.4400000000005</v>
      </c>
      <c r="V61" s="6">
        <f t="shared" si="21"/>
        <v>4</v>
      </c>
      <c r="W61" s="3" t="s">
        <v>33</v>
      </c>
      <c r="X61" s="80">
        <v>2630.6</v>
      </c>
      <c r="Y61" s="7">
        <f>0.5+0.15+0.05+0.11</f>
        <v>0.81</v>
      </c>
      <c r="Z61" s="69">
        <f t="shared" si="9"/>
        <v>25569.432</v>
      </c>
      <c r="AA61" s="21">
        <v>0.39</v>
      </c>
      <c r="AB61" s="69">
        <f t="shared" si="10"/>
        <v>12311.207999999999</v>
      </c>
      <c r="AC61" s="7">
        <v>0.06</v>
      </c>
      <c r="AD61" s="69">
        <f t="shared" si="11"/>
        <v>1894.0319999999997</v>
      </c>
      <c r="AE61" s="6"/>
      <c r="AF61" s="69">
        <f t="shared" si="12"/>
        <v>0</v>
      </c>
      <c r="AG61" s="2"/>
      <c r="AH61" s="17"/>
      <c r="AI61" s="2"/>
      <c r="AJ61" s="2"/>
    </row>
    <row r="62" spans="1:36" ht="12.75">
      <c r="A62" s="6">
        <f t="shared" si="22"/>
        <v>54</v>
      </c>
      <c r="B62" s="6">
        <f t="shared" si="20"/>
        <v>5</v>
      </c>
      <c r="C62" s="3" t="s">
        <v>34</v>
      </c>
      <c r="D62" s="80">
        <v>1266.8</v>
      </c>
      <c r="E62" s="7">
        <f>H62+J62+L62+N62+P62+R62+T62+Y62+AA62+AC62+AE62</f>
        <v>3.2</v>
      </c>
      <c r="F62" s="7">
        <f t="shared" si="17"/>
        <v>3.2000000000000006</v>
      </c>
      <c r="G62" s="69">
        <f t="shared" si="18"/>
        <v>48645.12000000001</v>
      </c>
      <c r="H62" s="186">
        <v>0.35</v>
      </c>
      <c r="I62" s="69">
        <f t="shared" si="2"/>
        <v>5320.5599999999995</v>
      </c>
      <c r="J62" s="186">
        <v>0.3</v>
      </c>
      <c r="K62" s="69">
        <f t="shared" si="3"/>
        <v>4560.48</v>
      </c>
      <c r="L62" s="186">
        <v>0.35</v>
      </c>
      <c r="M62" s="69">
        <f t="shared" si="4"/>
        <v>5320.5599999999995</v>
      </c>
      <c r="N62" s="186"/>
      <c r="O62" s="69">
        <f t="shared" si="5"/>
        <v>0</v>
      </c>
      <c r="P62" s="186">
        <v>0.2</v>
      </c>
      <c r="Q62" s="69">
        <f t="shared" si="6"/>
        <v>3040.32</v>
      </c>
      <c r="R62" s="187">
        <v>0.36</v>
      </c>
      <c r="S62" s="69">
        <f t="shared" si="7"/>
        <v>5472.575999999999</v>
      </c>
      <c r="T62" s="187">
        <v>0.15</v>
      </c>
      <c r="U62" s="69">
        <f t="shared" si="8"/>
        <v>2280.24</v>
      </c>
      <c r="V62" s="6">
        <f t="shared" si="21"/>
        <v>5</v>
      </c>
      <c r="W62" s="3" t="s">
        <v>34</v>
      </c>
      <c r="X62" s="80">
        <v>1266.8</v>
      </c>
      <c r="Y62" s="186">
        <f>0.37+0.2+0.21+0.1</f>
        <v>0.88</v>
      </c>
      <c r="Z62" s="69">
        <f t="shared" si="9"/>
        <v>13377.408</v>
      </c>
      <c r="AA62" s="21">
        <v>0.39</v>
      </c>
      <c r="AB62" s="69">
        <f t="shared" si="10"/>
        <v>5928.624</v>
      </c>
      <c r="AC62" s="187">
        <v>0.12</v>
      </c>
      <c r="AD62" s="69">
        <f t="shared" si="11"/>
        <v>1824.192</v>
      </c>
      <c r="AE62" s="186">
        <v>0.1</v>
      </c>
      <c r="AF62" s="69">
        <f t="shared" si="12"/>
        <v>1520.16</v>
      </c>
      <c r="AG62" s="2"/>
      <c r="AH62" s="17"/>
      <c r="AI62" s="2"/>
      <c r="AJ62" s="2"/>
    </row>
    <row r="63" spans="1:36" ht="12.75">
      <c r="A63" s="6">
        <f t="shared" si="22"/>
        <v>55</v>
      </c>
      <c r="B63" s="6">
        <f t="shared" si="20"/>
        <v>6</v>
      </c>
      <c r="C63" s="3" t="s">
        <v>35</v>
      </c>
      <c r="D63" s="80">
        <v>4482.3</v>
      </c>
      <c r="E63" s="7">
        <f t="shared" si="19"/>
        <v>2.93</v>
      </c>
      <c r="F63" s="7">
        <f t="shared" si="17"/>
        <v>2.9299999999999997</v>
      </c>
      <c r="G63" s="69">
        <f t="shared" si="18"/>
        <v>157597.66799999998</v>
      </c>
      <c r="H63" s="186">
        <v>0.3</v>
      </c>
      <c r="I63" s="69">
        <f t="shared" si="2"/>
        <v>16136.28</v>
      </c>
      <c r="J63" s="186">
        <v>0.3</v>
      </c>
      <c r="K63" s="69">
        <f t="shared" si="3"/>
        <v>16136.28</v>
      </c>
      <c r="L63" s="186">
        <v>0.35</v>
      </c>
      <c r="M63" s="69">
        <f t="shared" si="4"/>
        <v>18825.66</v>
      </c>
      <c r="N63" s="186">
        <v>0.05</v>
      </c>
      <c r="O63" s="69">
        <f t="shared" si="5"/>
        <v>2689.38</v>
      </c>
      <c r="P63" s="186">
        <v>0.2</v>
      </c>
      <c r="Q63" s="69">
        <f t="shared" si="6"/>
        <v>10757.52</v>
      </c>
      <c r="R63" s="186">
        <v>0.36</v>
      </c>
      <c r="S63" s="69">
        <f t="shared" si="7"/>
        <v>19363.536</v>
      </c>
      <c r="T63" s="186">
        <v>0.15</v>
      </c>
      <c r="U63" s="69">
        <f t="shared" si="8"/>
        <v>8068.14</v>
      </c>
      <c r="V63" s="6">
        <f t="shared" si="21"/>
        <v>6</v>
      </c>
      <c r="W63" s="3" t="s">
        <v>35</v>
      </c>
      <c r="X63" s="80">
        <v>4482.3</v>
      </c>
      <c r="Y63" s="186">
        <f>0.1+0.2+0.2+0.1</f>
        <v>0.6</v>
      </c>
      <c r="Z63" s="69">
        <f t="shared" si="9"/>
        <v>32272.56</v>
      </c>
      <c r="AA63" s="186">
        <f>0.52</f>
        <v>0.52</v>
      </c>
      <c r="AB63" s="69">
        <f t="shared" si="10"/>
        <v>27969.552000000003</v>
      </c>
      <c r="AC63" s="186">
        <v>0.1</v>
      </c>
      <c r="AD63" s="69">
        <f t="shared" si="11"/>
        <v>5378.76</v>
      </c>
      <c r="AE63" s="186"/>
      <c r="AF63" s="69">
        <f t="shared" si="12"/>
        <v>0</v>
      </c>
      <c r="AG63" s="2"/>
      <c r="AH63" s="17"/>
      <c r="AI63" s="2"/>
      <c r="AJ63" s="2"/>
    </row>
    <row r="64" spans="1:36" ht="12.75">
      <c r="A64" s="6">
        <f t="shared" si="22"/>
        <v>56</v>
      </c>
      <c r="B64" s="6">
        <f t="shared" si="20"/>
        <v>7</v>
      </c>
      <c r="C64" s="3" t="s">
        <v>36</v>
      </c>
      <c r="D64" s="168">
        <v>1273</v>
      </c>
      <c r="E64" s="7">
        <f>H64+J64+L64+N64+P64+R64+T64+Y64+AA64+AC64+AE64</f>
        <v>3.6</v>
      </c>
      <c r="F64" s="7">
        <f t="shared" si="17"/>
        <v>3.6</v>
      </c>
      <c r="G64" s="69">
        <f t="shared" si="18"/>
        <v>54993.600000000006</v>
      </c>
      <c r="H64" s="186">
        <v>0.4</v>
      </c>
      <c r="I64" s="69">
        <f t="shared" si="2"/>
        <v>6110.400000000001</v>
      </c>
      <c r="J64" s="186">
        <v>0.35</v>
      </c>
      <c r="K64" s="69">
        <f t="shared" si="3"/>
        <v>5346.599999999999</v>
      </c>
      <c r="L64" s="186">
        <v>0.45</v>
      </c>
      <c r="M64" s="69">
        <f t="shared" si="4"/>
        <v>6874.200000000001</v>
      </c>
      <c r="N64" s="186">
        <v>0</v>
      </c>
      <c r="O64" s="69">
        <f t="shared" si="5"/>
        <v>0</v>
      </c>
      <c r="P64" s="186">
        <v>0.2</v>
      </c>
      <c r="Q64" s="69">
        <f t="shared" si="6"/>
        <v>3055.2000000000003</v>
      </c>
      <c r="R64" s="186">
        <v>0.36</v>
      </c>
      <c r="S64" s="69">
        <f t="shared" si="7"/>
        <v>5499.36</v>
      </c>
      <c r="T64" s="186">
        <v>0.11</v>
      </c>
      <c r="U64" s="69">
        <f t="shared" si="8"/>
        <v>1680.3600000000001</v>
      </c>
      <c r="V64" s="6">
        <f t="shared" si="21"/>
        <v>7</v>
      </c>
      <c r="W64" s="3" t="s">
        <v>36</v>
      </c>
      <c r="X64" s="168">
        <v>1273</v>
      </c>
      <c r="Y64" s="186">
        <f>0.15+0.25+0.25+0.34</f>
        <v>0.99</v>
      </c>
      <c r="Z64" s="69">
        <f t="shared" si="9"/>
        <v>15123.24</v>
      </c>
      <c r="AA64" s="186">
        <f>0.35+0.16</f>
        <v>0.51</v>
      </c>
      <c r="AB64" s="69">
        <f t="shared" si="10"/>
        <v>7790.76</v>
      </c>
      <c r="AC64" s="186">
        <v>0.12</v>
      </c>
      <c r="AD64" s="69">
        <f t="shared" si="11"/>
        <v>1833.12</v>
      </c>
      <c r="AE64" s="186">
        <v>0.11</v>
      </c>
      <c r="AF64" s="69">
        <f t="shared" si="12"/>
        <v>1680.3600000000001</v>
      </c>
      <c r="AG64" s="2"/>
      <c r="AH64" s="17"/>
      <c r="AI64" s="2"/>
      <c r="AJ64" s="2"/>
    </row>
    <row r="65" spans="1:36" ht="12.75">
      <c r="A65" s="6">
        <f t="shared" si="22"/>
        <v>57</v>
      </c>
      <c r="B65" s="6">
        <f t="shared" si="20"/>
        <v>8</v>
      </c>
      <c r="C65" s="3" t="s">
        <v>37</v>
      </c>
      <c r="D65" s="168">
        <v>1279.9</v>
      </c>
      <c r="E65" s="7">
        <f t="shared" si="19"/>
        <v>3.1999999999999997</v>
      </c>
      <c r="F65" s="7">
        <f t="shared" si="17"/>
        <v>3.1999999999999997</v>
      </c>
      <c r="G65" s="69">
        <f t="shared" si="18"/>
        <v>49148.16</v>
      </c>
      <c r="H65" s="186">
        <v>0.25</v>
      </c>
      <c r="I65" s="69">
        <f t="shared" si="2"/>
        <v>3839.7000000000003</v>
      </c>
      <c r="J65" s="186">
        <v>0.25</v>
      </c>
      <c r="K65" s="69">
        <f t="shared" si="3"/>
        <v>3839.7000000000003</v>
      </c>
      <c r="L65" s="186">
        <v>0.35</v>
      </c>
      <c r="M65" s="69">
        <f t="shared" si="4"/>
        <v>5375.58</v>
      </c>
      <c r="N65" s="186">
        <v>0.1</v>
      </c>
      <c r="O65" s="69">
        <f t="shared" si="5"/>
        <v>1535.88</v>
      </c>
      <c r="P65" s="186">
        <v>0.24</v>
      </c>
      <c r="Q65" s="69">
        <f t="shared" si="6"/>
        <v>3686.112</v>
      </c>
      <c r="R65" s="186">
        <v>0.36</v>
      </c>
      <c r="S65" s="69">
        <f t="shared" si="7"/>
        <v>5529.168</v>
      </c>
      <c r="T65" s="186">
        <v>0.1</v>
      </c>
      <c r="U65" s="69">
        <f t="shared" si="8"/>
        <v>1535.88</v>
      </c>
      <c r="V65" s="6">
        <f t="shared" si="21"/>
        <v>8</v>
      </c>
      <c r="W65" s="3" t="s">
        <v>37</v>
      </c>
      <c r="X65" s="168">
        <v>1279.9</v>
      </c>
      <c r="Y65" s="186">
        <f>0.5+0.2+0.2+0.05</f>
        <v>0.95</v>
      </c>
      <c r="Z65" s="69">
        <f t="shared" si="9"/>
        <v>14590.86</v>
      </c>
      <c r="AA65" s="186">
        <v>0.3</v>
      </c>
      <c r="AB65" s="69">
        <f t="shared" si="10"/>
        <v>4607.64</v>
      </c>
      <c r="AC65" s="186">
        <v>0.2</v>
      </c>
      <c r="AD65" s="69">
        <f t="shared" si="11"/>
        <v>3071.76</v>
      </c>
      <c r="AE65" s="186">
        <v>0.1</v>
      </c>
      <c r="AF65" s="69">
        <f t="shared" si="12"/>
        <v>1535.88</v>
      </c>
      <c r="AG65" s="2"/>
      <c r="AH65" s="17"/>
      <c r="AI65" s="2"/>
      <c r="AJ65" s="2"/>
    </row>
    <row r="66" spans="1:36" ht="12.75">
      <c r="A66" s="6">
        <f t="shared" si="22"/>
        <v>58</v>
      </c>
      <c r="B66" s="6">
        <f t="shared" si="20"/>
        <v>9</v>
      </c>
      <c r="C66" s="3" t="s">
        <v>229</v>
      </c>
      <c r="D66" s="12">
        <v>4461.9</v>
      </c>
      <c r="E66" s="7">
        <f t="shared" si="19"/>
        <v>3.099999999999999</v>
      </c>
      <c r="F66" s="7">
        <f t="shared" si="17"/>
        <v>3.1</v>
      </c>
      <c r="G66" s="69">
        <f t="shared" si="18"/>
        <v>165982.68</v>
      </c>
      <c r="H66" s="186">
        <v>0.35</v>
      </c>
      <c r="I66" s="69">
        <f t="shared" si="2"/>
        <v>18739.979999999996</v>
      </c>
      <c r="J66" s="186">
        <v>0.25</v>
      </c>
      <c r="K66" s="69">
        <f t="shared" si="3"/>
        <v>13385.699999999999</v>
      </c>
      <c r="L66" s="186">
        <v>0.47</v>
      </c>
      <c r="M66" s="69">
        <f t="shared" si="4"/>
        <v>25165.115999999998</v>
      </c>
      <c r="N66" s="186">
        <v>0.05</v>
      </c>
      <c r="O66" s="69">
        <f t="shared" si="5"/>
        <v>2677.14</v>
      </c>
      <c r="P66" s="186">
        <v>0.2</v>
      </c>
      <c r="Q66" s="69">
        <f t="shared" si="6"/>
        <v>10708.56</v>
      </c>
      <c r="R66" s="186">
        <v>0.36</v>
      </c>
      <c r="S66" s="69">
        <f t="shared" si="7"/>
        <v>19275.408</v>
      </c>
      <c r="T66" s="186">
        <v>0.11</v>
      </c>
      <c r="U66" s="69">
        <f t="shared" si="8"/>
        <v>5889.708</v>
      </c>
      <c r="V66" s="6">
        <f t="shared" si="21"/>
        <v>9</v>
      </c>
      <c r="W66" s="3" t="s">
        <v>229</v>
      </c>
      <c r="X66" s="12">
        <v>4461.9</v>
      </c>
      <c r="Y66" s="186">
        <f>0.25+0.12+0.21+0.15</f>
        <v>0.73</v>
      </c>
      <c r="Z66" s="69">
        <f t="shared" si="9"/>
        <v>39086.24399999999</v>
      </c>
      <c r="AA66" s="186">
        <v>0.32</v>
      </c>
      <c r="AB66" s="69">
        <f t="shared" si="10"/>
        <v>17133.696</v>
      </c>
      <c r="AC66" s="186">
        <v>0.15</v>
      </c>
      <c r="AD66" s="69">
        <f t="shared" si="11"/>
        <v>8031.42</v>
      </c>
      <c r="AE66" s="186">
        <v>0.11</v>
      </c>
      <c r="AF66" s="69">
        <f t="shared" si="12"/>
        <v>5889.708</v>
      </c>
      <c r="AG66" s="2"/>
      <c r="AH66" s="17"/>
      <c r="AI66" s="2"/>
      <c r="AJ66" s="2"/>
    </row>
    <row r="67" spans="1:36" ht="12.75">
      <c r="A67" s="6">
        <f t="shared" si="22"/>
        <v>59</v>
      </c>
      <c r="B67" s="6">
        <f t="shared" si="20"/>
        <v>10</v>
      </c>
      <c r="C67" s="3" t="s">
        <v>38</v>
      </c>
      <c r="D67" s="80">
        <v>1269.1</v>
      </c>
      <c r="E67" s="7">
        <f>H67+J67+L67+N67+P67+R67+T67+Y67+AA67+AC67+AE67</f>
        <v>3.07</v>
      </c>
      <c r="F67" s="7">
        <f t="shared" si="17"/>
        <v>3.07</v>
      </c>
      <c r="G67" s="69">
        <f t="shared" si="18"/>
        <v>46753.64399999999</v>
      </c>
      <c r="H67" s="186">
        <v>0.32</v>
      </c>
      <c r="I67" s="69">
        <f t="shared" si="2"/>
        <v>4873.343999999999</v>
      </c>
      <c r="J67" s="186">
        <v>0.32</v>
      </c>
      <c r="K67" s="69">
        <f t="shared" si="3"/>
        <v>4873.343999999999</v>
      </c>
      <c r="L67" s="186">
        <v>0.37</v>
      </c>
      <c r="M67" s="69">
        <f t="shared" si="4"/>
        <v>5634.803999999999</v>
      </c>
      <c r="N67" s="186">
        <v>0.12</v>
      </c>
      <c r="O67" s="69">
        <f t="shared" si="5"/>
        <v>1827.5039999999997</v>
      </c>
      <c r="P67" s="186">
        <v>0.25</v>
      </c>
      <c r="Q67" s="69">
        <f t="shared" si="6"/>
        <v>3807.2999999999997</v>
      </c>
      <c r="R67" s="186">
        <v>0.36</v>
      </c>
      <c r="S67" s="69">
        <f t="shared" si="7"/>
        <v>5482.512</v>
      </c>
      <c r="T67" s="186">
        <v>0.15</v>
      </c>
      <c r="U67" s="69">
        <f t="shared" si="8"/>
        <v>2284.3799999999997</v>
      </c>
      <c r="V67" s="6">
        <f t="shared" si="21"/>
        <v>10</v>
      </c>
      <c r="W67" s="3" t="s">
        <v>38</v>
      </c>
      <c r="X67" s="80">
        <v>1269.1</v>
      </c>
      <c r="Y67" s="186">
        <f>0.3+0.1+0.08+0.1</f>
        <v>0.5800000000000001</v>
      </c>
      <c r="Z67" s="69">
        <f t="shared" si="9"/>
        <v>8832.936000000002</v>
      </c>
      <c r="AA67" s="186">
        <v>0.35</v>
      </c>
      <c r="AB67" s="69">
        <f t="shared" si="10"/>
        <v>5330.219999999999</v>
      </c>
      <c r="AC67" s="186">
        <v>0.15</v>
      </c>
      <c r="AD67" s="69">
        <f t="shared" si="11"/>
        <v>2284.3799999999997</v>
      </c>
      <c r="AE67" s="186">
        <v>0.1</v>
      </c>
      <c r="AF67" s="69">
        <f t="shared" si="12"/>
        <v>1522.92</v>
      </c>
      <c r="AG67" s="2"/>
      <c r="AH67" s="17"/>
      <c r="AI67" s="2"/>
      <c r="AJ67" s="2"/>
    </row>
    <row r="68" spans="1:36" ht="12.75">
      <c r="A68" s="6">
        <f t="shared" si="22"/>
        <v>60</v>
      </c>
      <c r="B68" s="6">
        <f t="shared" si="20"/>
        <v>11</v>
      </c>
      <c r="C68" s="3" t="s">
        <v>39</v>
      </c>
      <c r="D68" s="80">
        <v>4454.6</v>
      </c>
      <c r="E68" s="7">
        <f t="shared" si="19"/>
        <v>3.1</v>
      </c>
      <c r="F68" s="7">
        <f t="shared" si="17"/>
        <v>3.0999999999999996</v>
      </c>
      <c r="G68" s="69">
        <f t="shared" si="18"/>
        <v>165711.12</v>
      </c>
      <c r="H68" s="186">
        <v>0.35</v>
      </c>
      <c r="I68" s="69">
        <f t="shared" si="2"/>
        <v>18709.32</v>
      </c>
      <c r="J68" s="186">
        <v>0.25</v>
      </c>
      <c r="K68" s="69">
        <f t="shared" si="3"/>
        <v>13363.800000000001</v>
      </c>
      <c r="L68" s="186">
        <v>0.65</v>
      </c>
      <c r="M68" s="69">
        <f t="shared" si="4"/>
        <v>34745.880000000005</v>
      </c>
      <c r="N68" s="186">
        <v>0.1</v>
      </c>
      <c r="O68" s="69">
        <f t="shared" si="5"/>
        <v>5345.52</v>
      </c>
      <c r="P68" s="186">
        <v>0.25</v>
      </c>
      <c r="Q68" s="69">
        <f t="shared" si="6"/>
        <v>13363.800000000001</v>
      </c>
      <c r="R68" s="186">
        <v>0.36</v>
      </c>
      <c r="S68" s="69">
        <f t="shared" si="7"/>
        <v>19243.872000000003</v>
      </c>
      <c r="T68" s="186">
        <v>0.15</v>
      </c>
      <c r="U68" s="69">
        <f t="shared" si="8"/>
        <v>8018.280000000001</v>
      </c>
      <c r="V68" s="6">
        <f t="shared" si="21"/>
        <v>11</v>
      </c>
      <c r="W68" s="3" t="s">
        <v>39</v>
      </c>
      <c r="X68" s="80">
        <v>4454.6</v>
      </c>
      <c r="Y68" s="186">
        <f>0.2+0.2+0.1</f>
        <v>0.5</v>
      </c>
      <c r="Z68" s="69">
        <f t="shared" si="9"/>
        <v>26727.600000000002</v>
      </c>
      <c r="AA68" s="186">
        <v>0.29</v>
      </c>
      <c r="AB68" s="69">
        <f t="shared" si="10"/>
        <v>15502.008000000002</v>
      </c>
      <c r="AC68" s="186">
        <v>0.1</v>
      </c>
      <c r="AD68" s="69">
        <f t="shared" si="11"/>
        <v>5345.52</v>
      </c>
      <c r="AE68" s="186">
        <v>0.1</v>
      </c>
      <c r="AF68" s="69">
        <f t="shared" si="12"/>
        <v>5345.52</v>
      </c>
      <c r="AG68" s="2"/>
      <c r="AH68" s="17"/>
      <c r="AI68" s="2"/>
      <c r="AJ68" s="2"/>
    </row>
    <row r="69" spans="1:36" ht="12.75">
      <c r="A69" s="6">
        <f t="shared" si="22"/>
        <v>61</v>
      </c>
      <c r="B69" s="6">
        <f t="shared" si="20"/>
        <v>12</v>
      </c>
      <c r="C69" s="3" t="s">
        <v>40</v>
      </c>
      <c r="D69" s="168">
        <v>1264</v>
      </c>
      <c r="E69" s="7">
        <f>H69+J69+L69+N69+P69+R69+T69+Y69+AA69+AC69+AE69</f>
        <v>2.3000000000000003</v>
      </c>
      <c r="F69" s="7">
        <f t="shared" si="17"/>
        <v>2.3000000000000003</v>
      </c>
      <c r="G69" s="69">
        <f t="shared" si="18"/>
        <v>34886.4</v>
      </c>
      <c r="H69" s="186">
        <v>0.25</v>
      </c>
      <c r="I69" s="69">
        <f t="shared" si="2"/>
        <v>3792</v>
      </c>
      <c r="J69" s="186">
        <v>0.25</v>
      </c>
      <c r="K69" s="69">
        <f t="shared" si="3"/>
        <v>3792</v>
      </c>
      <c r="L69" s="186">
        <v>0.3</v>
      </c>
      <c r="M69" s="69">
        <f t="shared" si="4"/>
        <v>4550.4</v>
      </c>
      <c r="N69" s="186">
        <v>0</v>
      </c>
      <c r="O69" s="69">
        <f t="shared" si="5"/>
        <v>0</v>
      </c>
      <c r="P69" s="186">
        <v>0.13</v>
      </c>
      <c r="Q69" s="69">
        <f t="shared" si="6"/>
        <v>1971.84</v>
      </c>
      <c r="R69" s="186">
        <v>0.36</v>
      </c>
      <c r="S69" s="69">
        <f t="shared" si="7"/>
        <v>5460.48</v>
      </c>
      <c r="T69" s="186">
        <v>0.11</v>
      </c>
      <c r="U69" s="69">
        <f t="shared" si="8"/>
        <v>1668.48</v>
      </c>
      <c r="V69" s="6">
        <f t="shared" si="21"/>
        <v>12</v>
      </c>
      <c r="W69" s="3" t="s">
        <v>40</v>
      </c>
      <c r="X69" s="168">
        <v>1264</v>
      </c>
      <c r="Y69" s="186">
        <f>0.3+0.2</f>
        <v>0.5</v>
      </c>
      <c r="Z69" s="69">
        <f t="shared" si="9"/>
        <v>7584</v>
      </c>
      <c r="AA69" s="186">
        <v>0.3</v>
      </c>
      <c r="AB69" s="69">
        <f t="shared" si="10"/>
        <v>4550.4</v>
      </c>
      <c r="AC69" s="186">
        <v>0.1</v>
      </c>
      <c r="AD69" s="69">
        <f t="shared" si="11"/>
        <v>1516.8000000000002</v>
      </c>
      <c r="AE69" s="186">
        <v>0</v>
      </c>
      <c r="AF69" s="69">
        <f t="shared" si="12"/>
        <v>0</v>
      </c>
      <c r="AG69" s="2"/>
      <c r="AH69" s="17"/>
      <c r="AI69" s="2"/>
      <c r="AJ69" s="2"/>
    </row>
    <row r="70" spans="1:36" ht="12.75">
      <c r="A70" s="6">
        <f t="shared" si="22"/>
        <v>62</v>
      </c>
      <c r="B70" s="6">
        <f t="shared" si="20"/>
        <v>13</v>
      </c>
      <c r="C70" s="3" t="s">
        <v>41</v>
      </c>
      <c r="D70" s="168">
        <v>2836.2</v>
      </c>
      <c r="E70" s="7">
        <f t="shared" si="19"/>
        <v>3.1</v>
      </c>
      <c r="F70" s="7">
        <f t="shared" si="17"/>
        <v>3.1</v>
      </c>
      <c r="G70" s="69">
        <f t="shared" si="18"/>
        <v>105506.64</v>
      </c>
      <c r="H70" s="186">
        <v>0.3</v>
      </c>
      <c r="I70" s="69">
        <f t="shared" si="2"/>
        <v>10210.32</v>
      </c>
      <c r="J70" s="186">
        <v>0.25</v>
      </c>
      <c r="K70" s="69">
        <f t="shared" si="3"/>
        <v>8508.599999999999</v>
      </c>
      <c r="L70" s="186">
        <v>0.4</v>
      </c>
      <c r="M70" s="69">
        <f t="shared" si="4"/>
        <v>13613.76</v>
      </c>
      <c r="N70" s="186">
        <v>0.1</v>
      </c>
      <c r="O70" s="69">
        <f t="shared" si="5"/>
        <v>3403.44</v>
      </c>
      <c r="P70" s="186">
        <v>0.25</v>
      </c>
      <c r="Q70" s="69">
        <f t="shared" si="6"/>
        <v>8508.599999999999</v>
      </c>
      <c r="R70" s="186">
        <v>0.36</v>
      </c>
      <c r="S70" s="69">
        <f t="shared" si="7"/>
        <v>12252.383999999998</v>
      </c>
      <c r="T70" s="186">
        <v>0.11</v>
      </c>
      <c r="U70" s="69">
        <f t="shared" si="8"/>
        <v>3743.7839999999997</v>
      </c>
      <c r="V70" s="6">
        <f t="shared" si="21"/>
        <v>13</v>
      </c>
      <c r="W70" s="3" t="s">
        <v>41</v>
      </c>
      <c r="X70" s="168">
        <v>2836.2</v>
      </c>
      <c r="Y70" s="186">
        <f>0.3+0.21+0.2+0.1</f>
        <v>0.8099999999999999</v>
      </c>
      <c r="Z70" s="69">
        <f t="shared" si="9"/>
        <v>27567.863999999994</v>
      </c>
      <c r="AA70" s="186">
        <v>0.32</v>
      </c>
      <c r="AB70" s="69">
        <f t="shared" si="10"/>
        <v>10891.008</v>
      </c>
      <c r="AC70" s="186">
        <v>0.1</v>
      </c>
      <c r="AD70" s="69">
        <f t="shared" si="11"/>
        <v>3403.44</v>
      </c>
      <c r="AE70" s="186">
        <v>0.1</v>
      </c>
      <c r="AF70" s="69">
        <f t="shared" si="12"/>
        <v>3403.44</v>
      </c>
      <c r="AG70" s="2"/>
      <c r="AH70" s="17"/>
      <c r="AI70" s="2"/>
      <c r="AJ70" s="2"/>
    </row>
    <row r="71" spans="1:36" ht="12.75">
      <c r="A71" s="6">
        <f t="shared" si="22"/>
        <v>63</v>
      </c>
      <c r="B71" s="6">
        <f t="shared" si="20"/>
        <v>14</v>
      </c>
      <c r="C71" s="3" t="s">
        <v>230</v>
      </c>
      <c r="D71" s="64">
        <v>1273</v>
      </c>
      <c r="E71" s="7">
        <f t="shared" si="19"/>
        <v>3.3</v>
      </c>
      <c r="F71" s="7">
        <f t="shared" si="17"/>
        <v>3.3000000000000007</v>
      </c>
      <c r="G71" s="69">
        <f t="shared" si="18"/>
        <v>50410.80000000001</v>
      </c>
      <c r="H71" s="186">
        <v>0.35</v>
      </c>
      <c r="I71" s="69">
        <f t="shared" si="2"/>
        <v>5346.599999999999</v>
      </c>
      <c r="J71" s="186">
        <v>0.35</v>
      </c>
      <c r="K71" s="69">
        <f t="shared" si="3"/>
        <v>5346.599999999999</v>
      </c>
      <c r="L71" s="186">
        <v>0.45</v>
      </c>
      <c r="M71" s="69">
        <f t="shared" si="4"/>
        <v>6874.200000000001</v>
      </c>
      <c r="N71" s="186">
        <v>0.1</v>
      </c>
      <c r="O71" s="69">
        <f t="shared" si="5"/>
        <v>1527.6000000000001</v>
      </c>
      <c r="P71" s="186">
        <v>0.25</v>
      </c>
      <c r="Q71" s="69">
        <f t="shared" si="6"/>
        <v>3819</v>
      </c>
      <c r="R71" s="186">
        <v>0.36</v>
      </c>
      <c r="S71" s="69">
        <f t="shared" si="7"/>
        <v>5499.36</v>
      </c>
      <c r="T71" s="186">
        <v>0.15</v>
      </c>
      <c r="U71" s="69">
        <f t="shared" si="8"/>
        <v>2291.3999999999996</v>
      </c>
      <c r="V71" s="6">
        <f t="shared" si="21"/>
        <v>14</v>
      </c>
      <c r="W71" s="3" t="s">
        <v>230</v>
      </c>
      <c r="X71" s="64">
        <v>1273</v>
      </c>
      <c r="Y71" s="186">
        <f>0.26+0.2+0.1</f>
        <v>0.56</v>
      </c>
      <c r="Z71" s="69">
        <f t="shared" si="9"/>
        <v>8554.560000000001</v>
      </c>
      <c r="AA71" s="186">
        <v>0.35</v>
      </c>
      <c r="AB71" s="69">
        <f t="shared" si="10"/>
        <v>5346.599999999999</v>
      </c>
      <c r="AC71" s="186">
        <v>0.23</v>
      </c>
      <c r="AD71" s="69">
        <f t="shared" si="11"/>
        <v>3513.4800000000005</v>
      </c>
      <c r="AE71" s="186">
        <v>0.15</v>
      </c>
      <c r="AF71" s="69">
        <f t="shared" si="12"/>
        <v>2291.3999999999996</v>
      </c>
      <c r="AG71" s="2"/>
      <c r="AH71" s="17"/>
      <c r="AI71" s="2"/>
      <c r="AJ71" s="2"/>
    </row>
    <row r="72" spans="1:36" ht="12.75">
      <c r="A72" s="6">
        <f t="shared" si="22"/>
        <v>64</v>
      </c>
      <c r="B72" s="6">
        <f t="shared" si="20"/>
        <v>15</v>
      </c>
      <c r="C72" s="3" t="s">
        <v>42</v>
      </c>
      <c r="D72" s="80">
        <v>4423.9</v>
      </c>
      <c r="E72" s="7">
        <f t="shared" si="19"/>
        <v>3.07</v>
      </c>
      <c r="F72" s="7">
        <f t="shared" si="17"/>
        <v>3.0700000000000003</v>
      </c>
      <c r="G72" s="69">
        <f t="shared" si="18"/>
        <v>162976.476</v>
      </c>
      <c r="H72" s="186">
        <v>0.35</v>
      </c>
      <c r="I72" s="69">
        <f t="shared" si="2"/>
        <v>18580.379999999997</v>
      </c>
      <c r="J72" s="186">
        <v>0.35</v>
      </c>
      <c r="K72" s="69">
        <f t="shared" si="3"/>
        <v>18580.379999999997</v>
      </c>
      <c r="L72" s="186">
        <v>0.45</v>
      </c>
      <c r="M72" s="69">
        <f t="shared" si="4"/>
        <v>23889.059999999998</v>
      </c>
      <c r="N72" s="186">
        <v>0.09</v>
      </c>
      <c r="O72" s="69">
        <f t="shared" si="5"/>
        <v>4777.812</v>
      </c>
      <c r="P72" s="186">
        <v>0.22</v>
      </c>
      <c r="Q72" s="69">
        <f t="shared" si="6"/>
        <v>11679.096</v>
      </c>
      <c r="R72" s="186">
        <v>0.36</v>
      </c>
      <c r="S72" s="69">
        <f t="shared" si="7"/>
        <v>19111.248</v>
      </c>
      <c r="T72" s="186">
        <v>0</v>
      </c>
      <c r="U72" s="69">
        <f t="shared" si="8"/>
        <v>0</v>
      </c>
      <c r="V72" s="6">
        <f t="shared" si="21"/>
        <v>15</v>
      </c>
      <c r="W72" s="3" t="s">
        <v>42</v>
      </c>
      <c r="X72" s="80">
        <v>4423.9</v>
      </c>
      <c r="Y72" s="186">
        <f>0.26+0.2+0.22+0.1</f>
        <v>0.78</v>
      </c>
      <c r="Z72" s="69">
        <f t="shared" si="9"/>
        <v>41407.704</v>
      </c>
      <c r="AA72" s="186">
        <v>0.35</v>
      </c>
      <c r="AB72" s="69">
        <f t="shared" si="10"/>
        <v>18580.379999999997</v>
      </c>
      <c r="AC72" s="186">
        <v>0.12</v>
      </c>
      <c r="AD72" s="69">
        <f t="shared" si="11"/>
        <v>6370.415999999999</v>
      </c>
      <c r="AE72" s="186">
        <v>0</v>
      </c>
      <c r="AF72" s="69">
        <f t="shared" si="12"/>
        <v>0</v>
      </c>
      <c r="AG72" s="2"/>
      <c r="AH72" s="17"/>
      <c r="AI72" s="2"/>
      <c r="AJ72" s="2"/>
    </row>
    <row r="73" spans="1:36" ht="12.75">
      <c r="A73" s="6">
        <f t="shared" si="22"/>
        <v>65</v>
      </c>
      <c r="B73" s="6">
        <f t="shared" si="20"/>
        <v>16</v>
      </c>
      <c r="C73" s="3" t="s">
        <v>171</v>
      </c>
      <c r="D73" s="80">
        <v>1271.9</v>
      </c>
      <c r="E73" s="7">
        <f>H73+J73+L73+N73+P73+R73+T73+Y73+AA73+AC73+AE73</f>
        <v>2.2600000000000002</v>
      </c>
      <c r="F73" s="7">
        <f t="shared" si="17"/>
        <v>2.26</v>
      </c>
      <c r="G73" s="69">
        <f t="shared" si="18"/>
        <v>34493.928</v>
      </c>
      <c r="H73" s="186">
        <v>0.25</v>
      </c>
      <c r="I73" s="69">
        <f aca="true" t="shared" si="23" ref="I73:I136">H73*D73*12</f>
        <v>3815.7000000000003</v>
      </c>
      <c r="J73" s="186">
        <v>0.3</v>
      </c>
      <c r="K73" s="69">
        <f aca="true" t="shared" si="24" ref="K73:K136">J73*D73*12</f>
        <v>4578.84</v>
      </c>
      <c r="L73" s="186">
        <v>0.3</v>
      </c>
      <c r="M73" s="69">
        <f aca="true" t="shared" si="25" ref="M73:M136">D73*L73*12</f>
        <v>4578.84</v>
      </c>
      <c r="N73" s="186">
        <v>0</v>
      </c>
      <c r="O73" s="69">
        <f aca="true" t="shared" si="26" ref="O73:O136">N73*D73*12</f>
        <v>0</v>
      </c>
      <c r="P73" s="186">
        <v>0.2</v>
      </c>
      <c r="Q73" s="69">
        <f aca="true" t="shared" si="27" ref="Q73:Q136">P73*D73*12</f>
        <v>3052.5600000000004</v>
      </c>
      <c r="R73" s="186">
        <v>0.36</v>
      </c>
      <c r="S73" s="69">
        <f aca="true" t="shared" si="28" ref="S73:S136">R73*D73*12</f>
        <v>5494.608</v>
      </c>
      <c r="T73" s="186">
        <v>0.1</v>
      </c>
      <c r="U73" s="69">
        <f aca="true" t="shared" si="29" ref="U73:U136">T73*D73*12</f>
        <v>1526.2800000000002</v>
      </c>
      <c r="V73" s="6">
        <f t="shared" si="21"/>
        <v>16</v>
      </c>
      <c r="W73" s="3" t="s">
        <v>171</v>
      </c>
      <c r="X73" s="80">
        <v>1271.9</v>
      </c>
      <c r="Y73" s="186">
        <f>0.1+0.1+0.1</f>
        <v>0.30000000000000004</v>
      </c>
      <c r="Z73" s="69">
        <f aca="true" t="shared" si="30" ref="Z73:Z136">Y73*D73*12</f>
        <v>4578.840000000001</v>
      </c>
      <c r="AA73" s="186">
        <v>0.3</v>
      </c>
      <c r="AB73" s="69">
        <f aca="true" t="shared" si="31" ref="AB73:AB136">AA73*D73*12</f>
        <v>4578.84</v>
      </c>
      <c r="AC73" s="186">
        <v>0.1</v>
      </c>
      <c r="AD73" s="69">
        <f aca="true" t="shared" si="32" ref="AD73:AD136">AC73*D73*12</f>
        <v>1526.2800000000002</v>
      </c>
      <c r="AE73" s="186">
        <v>0.05</v>
      </c>
      <c r="AF73" s="69">
        <f aca="true" t="shared" si="33" ref="AF73:AF136">AE73*D73*12</f>
        <v>763.1400000000001</v>
      </c>
      <c r="AG73" s="2"/>
      <c r="AH73" s="17"/>
      <c r="AI73" s="2"/>
      <c r="AJ73" s="2"/>
    </row>
    <row r="74" spans="1:36" ht="12.75">
      <c r="A74" s="6">
        <f t="shared" si="22"/>
        <v>66</v>
      </c>
      <c r="B74" s="6">
        <f t="shared" si="20"/>
        <v>17</v>
      </c>
      <c r="C74" s="3" t="s">
        <v>172</v>
      </c>
      <c r="D74" s="80">
        <v>3721.9</v>
      </c>
      <c r="E74" s="7">
        <f t="shared" si="19"/>
        <v>3.2</v>
      </c>
      <c r="F74" s="7">
        <f t="shared" si="17"/>
        <v>3.2000000000000006</v>
      </c>
      <c r="G74" s="69">
        <f t="shared" si="18"/>
        <v>142920.96000000002</v>
      </c>
      <c r="H74" s="186">
        <v>0.35</v>
      </c>
      <c r="I74" s="69">
        <f t="shared" si="23"/>
        <v>15631.98</v>
      </c>
      <c r="J74" s="186">
        <v>0.35</v>
      </c>
      <c r="K74" s="69">
        <f t="shared" si="24"/>
        <v>15631.98</v>
      </c>
      <c r="L74" s="186">
        <v>0.5</v>
      </c>
      <c r="M74" s="69">
        <f t="shared" si="25"/>
        <v>22331.4</v>
      </c>
      <c r="N74" s="186">
        <v>0.15</v>
      </c>
      <c r="O74" s="69">
        <f t="shared" si="26"/>
        <v>6699.42</v>
      </c>
      <c r="P74" s="186">
        <v>0.21</v>
      </c>
      <c r="Q74" s="69">
        <f t="shared" si="27"/>
        <v>9379.188</v>
      </c>
      <c r="R74" s="186">
        <v>0.36</v>
      </c>
      <c r="S74" s="69">
        <f t="shared" si="28"/>
        <v>16078.608</v>
      </c>
      <c r="T74" s="186">
        <v>0.1</v>
      </c>
      <c r="U74" s="69">
        <f t="shared" si="29"/>
        <v>4466.280000000001</v>
      </c>
      <c r="V74" s="6">
        <f t="shared" si="21"/>
        <v>17</v>
      </c>
      <c r="W74" s="3" t="s">
        <v>172</v>
      </c>
      <c r="X74" s="80">
        <v>3721.9</v>
      </c>
      <c r="Y74" s="186">
        <f>0.2+0.2+0.15</f>
        <v>0.55</v>
      </c>
      <c r="Z74" s="69">
        <f t="shared" si="30"/>
        <v>24564.540000000005</v>
      </c>
      <c r="AA74" s="186">
        <v>0.4</v>
      </c>
      <c r="AB74" s="69">
        <f t="shared" si="31"/>
        <v>17865.120000000003</v>
      </c>
      <c r="AC74" s="186">
        <v>0.13</v>
      </c>
      <c r="AD74" s="69">
        <f t="shared" si="32"/>
        <v>5806.164000000001</v>
      </c>
      <c r="AE74" s="186">
        <v>0.1</v>
      </c>
      <c r="AF74" s="69">
        <f t="shared" si="33"/>
        <v>4466.280000000001</v>
      </c>
      <c r="AG74" s="2"/>
      <c r="AH74" s="17"/>
      <c r="AI74" s="2"/>
      <c r="AJ74" s="2"/>
    </row>
    <row r="75" spans="1:36" ht="12.75">
      <c r="A75" s="6">
        <f t="shared" si="22"/>
        <v>67</v>
      </c>
      <c r="B75" s="6">
        <f t="shared" si="20"/>
        <v>18</v>
      </c>
      <c r="C75" s="3" t="s">
        <v>208</v>
      </c>
      <c r="D75" s="80">
        <v>2392.9</v>
      </c>
      <c r="E75" s="7">
        <f t="shared" si="19"/>
        <v>3.0999999999999996</v>
      </c>
      <c r="F75" s="7">
        <f t="shared" si="17"/>
        <v>3.1</v>
      </c>
      <c r="G75" s="69">
        <f t="shared" si="18"/>
        <v>89015.88</v>
      </c>
      <c r="H75" s="186">
        <v>0.3</v>
      </c>
      <c r="I75" s="69">
        <f t="shared" si="23"/>
        <v>8614.44</v>
      </c>
      <c r="J75" s="186">
        <v>0.3</v>
      </c>
      <c r="K75" s="69">
        <f t="shared" si="24"/>
        <v>8614.44</v>
      </c>
      <c r="L75" s="186">
        <v>0.45</v>
      </c>
      <c r="M75" s="69">
        <f t="shared" si="25"/>
        <v>12921.66</v>
      </c>
      <c r="N75" s="186">
        <v>0.12</v>
      </c>
      <c r="O75" s="69">
        <f t="shared" si="26"/>
        <v>3445.7760000000003</v>
      </c>
      <c r="P75" s="186">
        <v>0.25</v>
      </c>
      <c r="Q75" s="69">
        <f t="shared" si="27"/>
        <v>7178.700000000001</v>
      </c>
      <c r="R75" s="186">
        <v>0.36</v>
      </c>
      <c r="S75" s="69">
        <f t="shared" si="28"/>
        <v>10337.328</v>
      </c>
      <c r="T75" s="186">
        <v>0.11</v>
      </c>
      <c r="U75" s="69">
        <f t="shared" si="29"/>
        <v>3158.6279999999997</v>
      </c>
      <c r="V75" s="6">
        <f t="shared" si="21"/>
        <v>18</v>
      </c>
      <c r="W75" s="3" t="s">
        <v>208</v>
      </c>
      <c r="X75" s="80">
        <v>2392.9</v>
      </c>
      <c r="Y75" s="186">
        <f>0.25+0.26+0.15</f>
        <v>0.66</v>
      </c>
      <c r="Z75" s="69">
        <f t="shared" si="30"/>
        <v>18951.768</v>
      </c>
      <c r="AA75" s="186">
        <v>0.32</v>
      </c>
      <c r="AB75" s="69">
        <f t="shared" si="31"/>
        <v>9188.736</v>
      </c>
      <c r="AC75" s="186">
        <v>0.12</v>
      </c>
      <c r="AD75" s="69">
        <f t="shared" si="32"/>
        <v>3445.7760000000003</v>
      </c>
      <c r="AE75" s="186">
        <v>0.11</v>
      </c>
      <c r="AF75" s="69">
        <f t="shared" si="33"/>
        <v>3158.6279999999997</v>
      </c>
      <c r="AG75" s="2"/>
      <c r="AH75" s="17"/>
      <c r="AI75" s="2"/>
      <c r="AJ75" s="2"/>
    </row>
    <row r="76" spans="1:36" ht="12.75">
      <c r="A76" s="6">
        <f t="shared" si="22"/>
        <v>68</v>
      </c>
      <c r="B76" s="6">
        <f t="shared" si="20"/>
        <v>19</v>
      </c>
      <c r="C76" s="3" t="s">
        <v>173</v>
      </c>
      <c r="D76" s="80">
        <v>1298.6</v>
      </c>
      <c r="E76" s="7">
        <f t="shared" si="19"/>
        <v>3.6100000000000003</v>
      </c>
      <c r="F76" s="7">
        <f t="shared" si="17"/>
        <v>3.61</v>
      </c>
      <c r="G76" s="69">
        <f t="shared" si="18"/>
        <v>56255.352</v>
      </c>
      <c r="H76" s="6">
        <v>0.35</v>
      </c>
      <c r="I76" s="69">
        <f t="shared" si="23"/>
        <v>5454.119999999999</v>
      </c>
      <c r="J76" s="6">
        <v>0.35</v>
      </c>
      <c r="K76" s="69">
        <f t="shared" si="24"/>
        <v>5454.119999999999</v>
      </c>
      <c r="L76" s="6">
        <v>0.45</v>
      </c>
      <c r="M76" s="69">
        <f t="shared" si="25"/>
        <v>7012.4400000000005</v>
      </c>
      <c r="N76" s="6">
        <v>0.12</v>
      </c>
      <c r="O76" s="69">
        <f t="shared" si="26"/>
        <v>1869.984</v>
      </c>
      <c r="P76" s="6">
        <v>0.31</v>
      </c>
      <c r="Q76" s="69">
        <f t="shared" si="27"/>
        <v>4830.7919999999995</v>
      </c>
      <c r="R76" s="7">
        <v>0.36</v>
      </c>
      <c r="S76" s="69">
        <f t="shared" si="28"/>
        <v>5609.951999999999</v>
      </c>
      <c r="T76" s="7">
        <v>0.31</v>
      </c>
      <c r="U76" s="69">
        <f t="shared" si="29"/>
        <v>4830.7919999999995</v>
      </c>
      <c r="V76" s="6">
        <f t="shared" si="21"/>
        <v>19</v>
      </c>
      <c r="W76" s="3" t="s">
        <v>173</v>
      </c>
      <c r="X76" s="80">
        <v>1298.6</v>
      </c>
      <c r="Y76" s="6">
        <f>0.2+0.2+0.13</f>
        <v>0.53</v>
      </c>
      <c r="Z76" s="69">
        <f t="shared" si="30"/>
        <v>8259.096000000001</v>
      </c>
      <c r="AA76" s="21">
        <v>0.32</v>
      </c>
      <c r="AB76" s="69">
        <f t="shared" si="31"/>
        <v>4986.624</v>
      </c>
      <c r="AC76" s="7">
        <v>0.2</v>
      </c>
      <c r="AD76" s="69">
        <f t="shared" si="32"/>
        <v>3116.6399999999994</v>
      </c>
      <c r="AE76" s="6">
        <v>0.31</v>
      </c>
      <c r="AF76" s="69">
        <f t="shared" si="33"/>
        <v>4830.7919999999995</v>
      </c>
      <c r="AG76" s="2"/>
      <c r="AH76" s="17"/>
      <c r="AI76" s="2"/>
      <c r="AJ76" s="2"/>
    </row>
    <row r="77" spans="1:36" ht="12.75">
      <c r="A77" s="6">
        <f t="shared" si="22"/>
        <v>69</v>
      </c>
      <c r="B77" s="6">
        <f t="shared" si="20"/>
        <v>20</v>
      </c>
      <c r="C77" s="4" t="s">
        <v>174</v>
      </c>
      <c r="D77" s="170">
        <v>3197.2</v>
      </c>
      <c r="E77" s="7">
        <f t="shared" si="19"/>
        <v>4</v>
      </c>
      <c r="F77" s="7">
        <f t="shared" si="17"/>
        <v>3.9999999999999996</v>
      </c>
      <c r="G77" s="69">
        <f t="shared" si="18"/>
        <v>153465.59999999998</v>
      </c>
      <c r="H77" s="6">
        <v>0.5</v>
      </c>
      <c r="I77" s="69">
        <f t="shared" si="23"/>
        <v>19183.199999999997</v>
      </c>
      <c r="J77" s="6">
        <v>0.45</v>
      </c>
      <c r="K77" s="69">
        <f t="shared" si="24"/>
        <v>17264.88</v>
      </c>
      <c r="L77" s="6">
        <v>0.45</v>
      </c>
      <c r="M77" s="69">
        <f t="shared" si="25"/>
        <v>17264.88</v>
      </c>
      <c r="N77" s="6">
        <v>0.25</v>
      </c>
      <c r="O77" s="69">
        <f t="shared" si="26"/>
        <v>9591.599999999999</v>
      </c>
      <c r="P77" s="6">
        <v>0.3</v>
      </c>
      <c r="Q77" s="69">
        <f t="shared" si="27"/>
        <v>11509.919999999998</v>
      </c>
      <c r="R77" s="7">
        <v>0.36</v>
      </c>
      <c r="S77" s="69">
        <f t="shared" si="28"/>
        <v>13811.903999999999</v>
      </c>
      <c r="T77" s="7">
        <v>0.2</v>
      </c>
      <c r="U77" s="69">
        <f t="shared" si="29"/>
        <v>7673.280000000001</v>
      </c>
      <c r="V77" s="6">
        <f t="shared" si="21"/>
        <v>20</v>
      </c>
      <c r="W77" s="4" t="s">
        <v>174</v>
      </c>
      <c r="X77" s="170">
        <v>3197.2</v>
      </c>
      <c r="Y77" s="6">
        <f>0.2+0.25+0.21+0.12</f>
        <v>0.78</v>
      </c>
      <c r="Z77" s="69">
        <f t="shared" si="30"/>
        <v>29925.791999999998</v>
      </c>
      <c r="AA77" s="21">
        <v>0.5</v>
      </c>
      <c r="AB77" s="69">
        <f t="shared" si="31"/>
        <v>19183.199999999997</v>
      </c>
      <c r="AC77" s="7">
        <v>0.06</v>
      </c>
      <c r="AD77" s="69">
        <f t="shared" si="32"/>
        <v>2301.984</v>
      </c>
      <c r="AE77" s="6">
        <v>0.15</v>
      </c>
      <c r="AF77" s="69">
        <f t="shared" si="33"/>
        <v>5754.959999999999</v>
      </c>
      <c r="AG77" s="2"/>
      <c r="AH77" s="17"/>
      <c r="AI77" s="2"/>
      <c r="AJ77" s="2"/>
    </row>
    <row r="78" spans="1:36" ht="12.75">
      <c r="A78" s="16"/>
      <c r="B78" s="6"/>
      <c r="C78" s="4" t="s">
        <v>175</v>
      </c>
      <c r="D78" s="43">
        <v>422.8</v>
      </c>
      <c r="E78" s="7">
        <f t="shared" si="19"/>
        <v>4</v>
      </c>
      <c r="F78" s="7">
        <f t="shared" si="17"/>
        <v>3.9999999999999996</v>
      </c>
      <c r="G78" s="69">
        <f t="shared" si="18"/>
        <v>20294.399999999998</v>
      </c>
      <c r="H78" s="6">
        <v>0.35</v>
      </c>
      <c r="I78" s="69">
        <f t="shared" si="23"/>
        <v>1775.7599999999998</v>
      </c>
      <c r="J78" s="6">
        <v>0.35</v>
      </c>
      <c r="K78" s="69">
        <f t="shared" si="24"/>
        <v>1775.7599999999998</v>
      </c>
      <c r="L78" s="6">
        <v>0.45</v>
      </c>
      <c r="M78" s="69">
        <f t="shared" si="25"/>
        <v>2283.1200000000003</v>
      </c>
      <c r="N78" s="6">
        <v>0.25</v>
      </c>
      <c r="O78" s="69">
        <f t="shared" si="26"/>
        <v>1268.4</v>
      </c>
      <c r="P78" s="6">
        <v>0.35</v>
      </c>
      <c r="Q78" s="69">
        <f t="shared" si="27"/>
        <v>1775.7599999999998</v>
      </c>
      <c r="R78" s="7">
        <v>0.36</v>
      </c>
      <c r="S78" s="69">
        <f t="shared" si="28"/>
        <v>1826.496</v>
      </c>
      <c r="T78" s="7">
        <v>0.2</v>
      </c>
      <c r="U78" s="69">
        <f t="shared" si="29"/>
        <v>1014.72</v>
      </c>
      <c r="V78" s="6"/>
      <c r="W78" s="4" t="s">
        <v>175</v>
      </c>
      <c r="X78" s="43">
        <v>422.8</v>
      </c>
      <c r="Y78" s="6">
        <f>0.26+0.31+0.3</f>
        <v>0.8700000000000001</v>
      </c>
      <c r="Z78" s="69">
        <f t="shared" si="30"/>
        <v>4414.032000000001</v>
      </c>
      <c r="AA78" s="21">
        <v>0.32</v>
      </c>
      <c r="AB78" s="69">
        <f t="shared" si="31"/>
        <v>1623.552</v>
      </c>
      <c r="AC78" s="7">
        <v>0.15</v>
      </c>
      <c r="AD78" s="69">
        <f t="shared" si="32"/>
        <v>761.04</v>
      </c>
      <c r="AE78" s="6">
        <v>0.35</v>
      </c>
      <c r="AF78" s="69">
        <f t="shared" si="33"/>
        <v>1775.7599999999998</v>
      </c>
      <c r="AG78" s="2"/>
      <c r="AH78" s="17"/>
      <c r="AI78" s="2"/>
      <c r="AJ78" s="2"/>
    </row>
    <row r="79" spans="1:36" ht="12.75">
      <c r="A79" s="16"/>
      <c r="B79" s="6"/>
      <c r="C79" s="4" t="s">
        <v>274</v>
      </c>
      <c r="D79" s="43">
        <v>2025.4</v>
      </c>
      <c r="E79" s="7">
        <f t="shared" si="19"/>
        <v>5.09</v>
      </c>
      <c r="F79" s="7">
        <f t="shared" si="17"/>
        <v>5.09</v>
      </c>
      <c r="G79" s="69">
        <f t="shared" si="18"/>
        <v>123711.432</v>
      </c>
      <c r="H79" s="6">
        <v>0.45</v>
      </c>
      <c r="I79" s="69">
        <f t="shared" si="23"/>
        <v>10937.16</v>
      </c>
      <c r="J79" s="6">
        <v>0.45</v>
      </c>
      <c r="K79" s="69">
        <f t="shared" si="24"/>
        <v>10937.16</v>
      </c>
      <c r="L79" s="6">
        <v>0.5</v>
      </c>
      <c r="M79" s="69">
        <f t="shared" si="25"/>
        <v>12152.400000000001</v>
      </c>
      <c r="N79" s="6">
        <v>0.3</v>
      </c>
      <c r="O79" s="69">
        <f t="shared" si="26"/>
        <v>7291.4400000000005</v>
      </c>
      <c r="P79" s="6">
        <v>0.5</v>
      </c>
      <c r="Q79" s="69">
        <f t="shared" si="27"/>
        <v>12152.400000000001</v>
      </c>
      <c r="R79" s="7">
        <v>0.36</v>
      </c>
      <c r="S79" s="69">
        <f t="shared" si="28"/>
        <v>8749.728</v>
      </c>
      <c r="T79" s="7">
        <v>0.35</v>
      </c>
      <c r="U79" s="69">
        <f t="shared" si="29"/>
        <v>8506.68</v>
      </c>
      <c r="V79" s="6"/>
      <c r="W79" s="4" t="s">
        <v>274</v>
      </c>
      <c r="X79" s="43">
        <v>2025.4</v>
      </c>
      <c r="Y79" s="6">
        <v>0.73</v>
      </c>
      <c r="Z79" s="69">
        <f t="shared" si="30"/>
        <v>17742.504</v>
      </c>
      <c r="AA79" s="21">
        <v>0.5</v>
      </c>
      <c r="AB79" s="69">
        <f t="shared" si="31"/>
        <v>12152.400000000001</v>
      </c>
      <c r="AC79" s="7">
        <v>0.6</v>
      </c>
      <c r="AD79" s="69">
        <f t="shared" si="32"/>
        <v>14582.880000000001</v>
      </c>
      <c r="AE79" s="6">
        <v>0.35</v>
      </c>
      <c r="AF79" s="69">
        <f t="shared" si="33"/>
        <v>8506.68</v>
      </c>
      <c r="AG79" s="2"/>
      <c r="AH79" s="17"/>
      <c r="AI79" s="2"/>
      <c r="AJ79" s="2"/>
    </row>
    <row r="80" spans="1:36" ht="12.75">
      <c r="A80" s="6">
        <f>A77+1</f>
        <v>70</v>
      </c>
      <c r="B80" s="6">
        <f>B77+1</f>
        <v>21</v>
      </c>
      <c r="C80" s="3" t="s">
        <v>176</v>
      </c>
      <c r="D80" s="168">
        <v>1258.3</v>
      </c>
      <c r="E80" s="7">
        <f t="shared" si="19"/>
        <v>3.0999999999999996</v>
      </c>
      <c r="F80" s="7">
        <f t="shared" si="17"/>
        <v>3.0999999999999996</v>
      </c>
      <c r="G80" s="69">
        <f t="shared" si="18"/>
        <v>46808.759999999995</v>
      </c>
      <c r="H80" s="6">
        <v>0.35</v>
      </c>
      <c r="I80" s="69">
        <f t="shared" si="23"/>
        <v>5284.86</v>
      </c>
      <c r="J80" s="6">
        <v>0.3</v>
      </c>
      <c r="K80" s="69">
        <f t="shared" si="24"/>
        <v>4529.879999999999</v>
      </c>
      <c r="L80" s="6">
        <v>0.42</v>
      </c>
      <c r="M80" s="69">
        <f t="shared" si="25"/>
        <v>6341.832</v>
      </c>
      <c r="N80" s="6">
        <v>0</v>
      </c>
      <c r="O80" s="69">
        <f t="shared" si="26"/>
        <v>0</v>
      </c>
      <c r="P80" s="6">
        <v>0.2</v>
      </c>
      <c r="Q80" s="69">
        <f t="shared" si="27"/>
        <v>3019.92</v>
      </c>
      <c r="R80" s="7">
        <v>0.36</v>
      </c>
      <c r="S80" s="69">
        <f t="shared" si="28"/>
        <v>5435.856</v>
      </c>
      <c r="T80" s="7">
        <v>0.11</v>
      </c>
      <c r="U80" s="69">
        <f t="shared" si="29"/>
        <v>1660.9559999999997</v>
      </c>
      <c r="V80" s="6">
        <f>V77+1</f>
        <v>21</v>
      </c>
      <c r="W80" s="3" t="s">
        <v>176</v>
      </c>
      <c r="X80" s="168">
        <v>1258.3</v>
      </c>
      <c r="Y80" s="6">
        <f>0.25+0.12+0.21+0.15</f>
        <v>0.73</v>
      </c>
      <c r="Z80" s="69">
        <f t="shared" si="30"/>
        <v>11022.707999999999</v>
      </c>
      <c r="AA80" s="21">
        <v>0.32</v>
      </c>
      <c r="AB80" s="69">
        <f t="shared" si="31"/>
        <v>4831.872</v>
      </c>
      <c r="AC80" s="7">
        <v>0.2</v>
      </c>
      <c r="AD80" s="69">
        <f t="shared" si="32"/>
        <v>3019.92</v>
      </c>
      <c r="AE80" s="6">
        <v>0.11</v>
      </c>
      <c r="AF80" s="69">
        <f t="shared" si="33"/>
        <v>1660.9559999999997</v>
      </c>
      <c r="AG80" s="2"/>
      <c r="AH80" s="17"/>
      <c r="AI80" s="2"/>
      <c r="AJ80" s="2"/>
    </row>
    <row r="81" spans="1:36" ht="12.75">
      <c r="A81" s="6">
        <f>A80+1</f>
        <v>71</v>
      </c>
      <c r="B81" s="6">
        <f>B80+1</f>
        <v>22</v>
      </c>
      <c r="C81" s="3" t="s">
        <v>177</v>
      </c>
      <c r="D81" s="80">
        <v>6215.6</v>
      </c>
      <c r="E81" s="7">
        <f t="shared" si="19"/>
        <v>3.8999999999999995</v>
      </c>
      <c r="F81" s="7">
        <f t="shared" si="17"/>
        <v>3.899999999999999</v>
      </c>
      <c r="G81" s="69">
        <f t="shared" si="18"/>
        <v>290890.07999999996</v>
      </c>
      <c r="H81" s="6">
        <v>0.4</v>
      </c>
      <c r="I81" s="69">
        <f t="shared" si="23"/>
        <v>29834.880000000005</v>
      </c>
      <c r="J81" s="6">
        <v>0.4</v>
      </c>
      <c r="K81" s="69">
        <f t="shared" si="24"/>
        <v>29834.880000000005</v>
      </c>
      <c r="L81" s="6">
        <v>0.5</v>
      </c>
      <c r="M81" s="69">
        <f t="shared" si="25"/>
        <v>37293.600000000006</v>
      </c>
      <c r="N81" s="6">
        <v>0.2</v>
      </c>
      <c r="O81" s="69">
        <f t="shared" si="26"/>
        <v>14917.440000000002</v>
      </c>
      <c r="P81" s="6">
        <v>0.25</v>
      </c>
      <c r="Q81" s="69">
        <f t="shared" si="27"/>
        <v>18646.800000000003</v>
      </c>
      <c r="R81" s="7">
        <v>0.36</v>
      </c>
      <c r="S81" s="69">
        <f t="shared" si="28"/>
        <v>26851.392</v>
      </c>
      <c r="T81" s="7">
        <v>0.11</v>
      </c>
      <c r="U81" s="69">
        <f t="shared" si="29"/>
        <v>8204.592</v>
      </c>
      <c r="V81" s="6">
        <f>V80+1</f>
        <v>22</v>
      </c>
      <c r="W81" s="3" t="s">
        <v>177</v>
      </c>
      <c r="X81" s="80">
        <v>6215.6</v>
      </c>
      <c r="Y81" s="6">
        <f>0.62+0.3+0.2</f>
        <v>1.1199999999999999</v>
      </c>
      <c r="Z81" s="69">
        <f t="shared" si="30"/>
        <v>83537.66399999999</v>
      </c>
      <c r="AA81" s="21">
        <v>0.3</v>
      </c>
      <c r="AB81" s="69">
        <f t="shared" si="31"/>
        <v>22376.16</v>
      </c>
      <c r="AC81" s="7">
        <v>0.15</v>
      </c>
      <c r="AD81" s="69">
        <f t="shared" si="32"/>
        <v>11188.08</v>
      </c>
      <c r="AE81" s="6">
        <v>0.11</v>
      </c>
      <c r="AF81" s="69">
        <f t="shared" si="33"/>
        <v>8204.592</v>
      </c>
      <c r="AG81" s="2"/>
      <c r="AH81" s="17"/>
      <c r="AI81" s="2"/>
      <c r="AJ81" s="2"/>
    </row>
    <row r="82" spans="1:36" ht="12.75">
      <c r="A82" s="6">
        <f aca="true" t="shared" si="34" ref="A82:A143">A81+1</f>
        <v>72</v>
      </c>
      <c r="B82" s="6">
        <f aca="true" t="shared" si="35" ref="B82:B143">B81+1</f>
        <v>23</v>
      </c>
      <c r="C82" s="3" t="s">
        <v>178</v>
      </c>
      <c r="D82" s="80">
        <v>1253.4</v>
      </c>
      <c r="E82" s="7">
        <f t="shared" si="19"/>
        <v>3.41</v>
      </c>
      <c r="F82" s="7">
        <f t="shared" si="17"/>
        <v>3.4099999999999997</v>
      </c>
      <c r="G82" s="69">
        <f t="shared" si="18"/>
        <v>51289.128</v>
      </c>
      <c r="H82" s="6">
        <v>0.4</v>
      </c>
      <c r="I82" s="69">
        <f t="shared" si="23"/>
        <v>6016.320000000001</v>
      </c>
      <c r="J82" s="6">
        <v>0.4</v>
      </c>
      <c r="K82" s="69">
        <f t="shared" si="24"/>
        <v>6016.320000000001</v>
      </c>
      <c r="L82" s="6">
        <v>0.45</v>
      </c>
      <c r="M82" s="69">
        <f t="shared" si="25"/>
        <v>6768.360000000001</v>
      </c>
      <c r="N82" s="6">
        <v>0.12</v>
      </c>
      <c r="O82" s="69">
        <f t="shared" si="26"/>
        <v>1804.8960000000002</v>
      </c>
      <c r="P82" s="6">
        <v>0.2</v>
      </c>
      <c r="Q82" s="69">
        <f t="shared" si="27"/>
        <v>3008.1600000000003</v>
      </c>
      <c r="R82" s="7">
        <v>0.36</v>
      </c>
      <c r="S82" s="69">
        <f t="shared" si="28"/>
        <v>5414.688</v>
      </c>
      <c r="T82" s="7">
        <v>0.11</v>
      </c>
      <c r="U82" s="69">
        <f t="shared" si="29"/>
        <v>1654.4880000000003</v>
      </c>
      <c r="V82" s="6">
        <f aca="true" t="shared" si="36" ref="V82:V143">V81+1</f>
        <v>23</v>
      </c>
      <c r="W82" s="3" t="s">
        <v>178</v>
      </c>
      <c r="X82" s="80">
        <v>1253.4</v>
      </c>
      <c r="Y82" s="6">
        <f>0.31+0.1+0.2+0.12</f>
        <v>0.7300000000000001</v>
      </c>
      <c r="Z82" s="69">
        <f t="shared" si="30"/>
        <v>10979.784000000003</v>
      </c>
      <c r="AA82" s="21">
        <v>0.37</v>
      </c>
      <c r="AB82" s="69">
        <f t="shared" si="31"/>
        <v>5565.0960000000005</v>
      </c>
      <c r="AC82" s="7">
        <v>0.16</v>
      </c>
      <c r="AD82" s="69">
        <f t="shared" si="32"/>
        <v>2406.5280000000002</v>
      </c>
      <c r="AE82" s="6">
        <v>0.11</v>
      </c>
      <c r="AF82" s="69">
        <f t="shared" si="33"/>
        <v>1654.4880000000003</v>
      </c>
      <c r="AG82" s="2"/>
      <c r="AH82" s="17"/>
      <c r="AI82" s="2"/>
      <c r="AJ82" s="2"/>
    </row>
    <row r="83" spans="1:36" ht="12.75">
      <c r="A83" s="6">
        <f t="shared" si="34"/>
        <v>73</v>
      </c>
      <c r="B83" s="6">
        <f t="shared" si="35"/>
        <v>24</v>
      </c>
      <c r="C83" s="3" t="s">
        <v>179</v>
      </c>
      <c r="D83" s="80">
        <v>1950.3</v>
      </c>
      <c r="E83" s="7">
        <f t="shared" si="19"/>
        <v>3.1000000000000005</v>
      </c>
      <c r="F83" s="7">
        <f t="shared" si="17"/>
        <v>3.1</v>
      </c>
      <c r="G83" s="69">
        <f t="shared" si="18"/>
        <v>72551.16</v>
      </c>
      <c r="H83" s="6">
        <v>0.3</v>
      </c>
      <c r="I83" s="69">
        <f t="shared" si="23"/>
        <v>7021.079999999999</v>
      </c>
      <c r="J83" s="6">
        <v>0.3</v>
      </c>
      <c r="K83" s="69">
        <f t="shared" si="24"/>
        <v>7021.079999999999</v>
      </c>
      <c r="L83" s="6">
        <v>0.4</v>
      </c>
      <c r="M83" s="69">
        <f t="shared" si="25"/>
        <v>9361.44</v>
      </c>
      <c r="N83" s="6">
        <v>0.12</v>
      </c>
      <c r="O83" s="69">
        <f t="shared" si="26"/>
        <v>2808.432</v>
      </c>
      <c r="P83" s="6">
        <v>0.2</v>
      </c>
      <c r="Q83" s="69">
        <f t="shared" si="27"/>
        <v>4680.72</v>
      </c>
      <c r="R83" s="7">
        <v>0.36</v>
      </c>
      <c r="S83" s="69">
        <f t="shared" si="28"/>
        <v>8425.295999999998</v>
      </c>
      <c r="T83" s="7">
        <v>0.11</v>
      </c>
      <c r="U83" s="69">
        <f t="shared" si="29"/>
        <v>2574.3959999999997</v>
      </c>
      <c r="V83" s="6">
        <f t="shared" si="36"/>
        <v>24</v>
      </c>
      <c r="W83" s="3" t="s">
        <v>179</v>
      </c>
      <c r="X83" s="80">
        <v>1950.3</v>
      </c>
      <c r="Y83" s="6">
        <f>0.38+0.12+0.15+0.12</f>
        <v>0.77</v>
      </c>
      <c r="Z83" s="69">
        <f t="shared" si="30"/>
        <v>18020.772</v>
      </c>
      <c r="AA83" s="21">
        <v>0.31</v>
      </c>
      <c r="AB83" s="69">
        <f t="shared" si="31"/>
        <v>7255.116</v>
      </c>
      <c r="AC83" s="7">
        <v>0.12</v>
      </c>
      <c r="AD83" s="69">
        <f t="shared" si="32"/>
        <v>2808.432</v>
      </c>
      <c r="AE83" s="6">
        <v>0.11</v>
      </c>
      <c r="AF83" s="69">
        <f t="shared" si="33"/>
        <v>2574.3959999999997</v>
      </c>
      <c r="AG83" s="2"/>
      <c r="AH83" s="17"/>
      <c r="AI83" s="2"/>
      <c r="AJ83" s="2"/>
    </row>
    <row r="84" spans="1:36" ht="12.75">
      <c r="A84" s="6">
        <f t="shared" si="34"/>
        <v>74</v>
      </c>
      <c r="B84" s="6">
        <f t="shared" si="35"/>
        <v>25</v>
      </c>
      <c r="C84" s="3" t="s">
        <v>180</v>
      </c>
      <c r="D84" s="80">
        <v>1952.1</v>
      </c>
      <c r="E84" s="7">
        <f t="shared" si="19"/>
        <v>3.1000000000000005</v>
      </c>
      <c r="F84" s="7">
        <f t="shared" si="17"/>
        <v>3.1</v>
      </c>
      <c r="G84" s="69">
        <f t="shared" si="18"/>
        <v>72618.12</v>
      </c>
      <c r="H84" s="6">
        <v>0.35</v>
      </c>
      <c r="I84" s="69">
        <f t="shared" si="23"/>
        <v>8198.82</v>
      </c>
      <c r="J84" s="6">
        <v>0.35</v>
      </c>
      <c r="K84" s="69">
        <f t="shared" si="24"/>
        <v>8198.82</v>
      </c>
      <c r="L84" s="6">
        <v>0.45</v>
      </c>
      <c r="M84" s="69">
        <f t="shared" si="25"/>
        <v>10541.34</v>
      </c>
      <c r="N84" s="6">
        <v>0.1</v>
      </c>
      <c r="O84" s="69">
        <f t="shared" si="26"/>
        <v>2342.52</v>
      </c>
      <c r="P84" s="6">
        <v>0.2</v>
      </c>
      <c r="Q84" s="69">
        <f t="shared" si="27"/>
        <v>4685.04</v>
      </c>
      <c r="R84" s="7">
        <v>0.36</v>
      </c>
      <c r="S84" s="69">
        <f t="shared" si="28"/>
        <v>8433.072</v>
      </c>
      <c r="T84" s="7">
        <v>0.1</v>
      </c>
      <c r="U84" s="69">
        <f t="shared" si="29"/>
        <v>2342.52</v>
      </c>
      <c r="V84" s="6">
        <f t="shared" si="36"/>
        <v>25</v>
      </c>
      <c r="W84" s="3" t="s">
        <v>180</v>
      </c>
      <c r="X84" s="80">
        <v>1952.1</v>
      </c>
      <c r="Y84" s="6">
        <f>0.2+0.12+0.12+0.1</f>
        <v>0.54</v>
      </c>
      <c r="Z84" s="69">
        <f t="shared" si="30"/>
        <v>12649.608</v>
      </c>
      <c r="AA84" s="21">
        <f>0.09+0.22+0.12</f>
        <v>0.43</v>
      </c>
      <c r="AB84" s="69">
        <f t="shared" si="31"/>
        <v>10072.836</v>
      </c>
      <c r="AC84" s="7">
        <v>0.12</v>
      </c>
      <c r="AD84" s="69">
        <f t="shared" si="32"/>
        <v>2811.024</v>
      </c>
      <c r="AE84" s="6">
        <v>0.1</v>
      </c>
      <c r="AF84" s="69">
        <f t="shared" si="33"/>
        <v>2342.52</v>
      </c>
      <c r="AG84" s="2"/>
      <c r="AH84" s="17"/>
      <c r="AI84" s="2"/>
      <c r="AJ84" s="2"/>
    </row>
    <row r="85" spans="1:36" ht="12.75">
      <c r="A85" s="6">
        <f t="shared" si="34"/>
        <v>75</v>
      </c>
      <c r="B85" s="6">
        <f t="shared" si="35"/>
        <v>26</v>
      </c>
      <c r="C85" s="3" t="s">
        <v>181</v>
      </c>
      <c r="D85" s="80">
        <v>2002.4</v>
      </c>
      <c r="E85" s="7">
        <f t="shared" si="19"/>
        <v>3.6</v>
      </c>
      <c r="F85" s="7">
        <f t="shared" si="17"/>
        <v>3.5999999999999996</v>
      </c>
      <c r="G85" s="69">
        <f t="shared" si="18"/>
        <v>86503.68</v>
      </c>
      <c r="H85" s="6">
        <v>0.35</v>
      </c>
      <c r="I85" s="69">
        <f t="shared" si="23"/>
        <v>8410.08</v>
      </c>
      <c r="J85" s="6">
        <v>0.35</v>
      </c>
      <c r="K85" s="69">
        <f t="shared" si="24"/>
        <v>8410.08</v>
      </c>
      <c r="L85" s="6">
        <v>0.45</v>
      </c>
      <c r="M85" s="69">
        <f t="shared" si="25"/>
        <v>10812.960000000001</v>
      </c>
      <c r="N85" s="6">
        <v>0.12</v>
      </c>
      <c r="O85" s="69">
        <f t="shared" si="26"/>
        <v>2883.456</v>
      </c>
      <c r="P85" s="6">
        <v>0.25</v>
      </c>
      <c r="Q85" s="69">
        <f t="shared" si="27"/>
        <v>6007.200000000001</v>
      </c>
      <c r="R85" s="7">
        <v>0.36</v>
      </c>
      <c r="S85" s="69">
        <f t="shared" si="28"/>
        <v>8650.368</v>
      </c>
      <c r="T85" s="7">
        <v>0.31</v>
      </c>
      <c r="U85" s="69">
        <f t="shared" si="29"/>
        <v>7448.928</v>
      </c>
      <c r="V85" s="6">
        <f t="shared" si="36"/>
        <v>26</v>
      </c>
      <c r="W85" s="3" t="s">
        <v>181</v>
      </c>
      <c r="X85" s="80">
        <v>2002.4</v>
      </c>
      <c r="Y85" s="6">
        <f>0.15+0.14+0.1+0.15</f>
        <v>0.54</v>
      </c>
      <c r="Z85" s="69">
        <f t="shared" si="30"/>
        <v>12975.552</v>
      </c>
      <c r="AA85" s="21">
        <v>0.34</v>
      </c>
      <c r="AB85" s="69">
        <f t="shared" si="31"/>
        <v>8169.792</v>
      </c>
      <c r="AC85" s="7">
        <v>0.22</v>
      </c>
      <c r="AD85" s="69">
        <f t="shared" si="32"/>
        <v>5286.336</v>
      </c>
      <c r="AE85" s="6">
        <v>0.31</v>
      </c>
      <c r="AF85" s="69">
        <f t="shared" si="33"/>
        <v>7448.928</v>
      </c>
      <c r="AG85" s="2"/>
      <c r="AH85" s="17"/>
      <c r="AI85" s="2"/>
      <c r="AJ85" s="2"/>
    </row>
    <row r="86" spans="1:36" ht="12.75">
      <c r="A86" s="6">
        <f t="shared" si="34"/>
        <v>76</v>
      </c>
      <c r="B86" s="6">
        <f t="shared" si="35"/>
        <v>27</v>
      </c>
      <c r="C86" s="3" t="s">
        <v>182</v>
      </c>
      <c r="D86" s="80">
        <v>2240.1</v>
      </c>
      <c r="E86" s="7">
        <f t="shared" si="19"/>
        <v>3.1099999999999994</v>
      </c>
      <c r="F86" s="7">
        <f t="shared" si="17"/>
        <v>3.1100000000000008</v>
      </c>
      <c r="G86" s="69">
        <f t="shared" si="18"/>
        <v>83600.532</v>
      </c>
      <c r="H86" s="6">
        <v>0.35</v>
      </c>
      <c r="I86" s="69">
        <f t="shared" si="23"/>
        <v>9408.42</v>
      </c>
      <c r="J86" s="6">
        <v>0.35</v>
      </c>
      <c r="K86" s="69">
        <f t="shared" si="24"/>
        <v>9408.42</v>
      </c>
      <c r="L86" s="6">
        <v>0.45</v>
      </c>
      <c r="M86" s="69">
        <f t="shared" si="25"/>
        <v>12096.539999999999</v>
      </c>
      <c r="N86" s="6">
        <v>0.15</v>
      </c>
      <c r="O86" s="69">
        <f t="shared" si="26"/>
        <v>4032.18</v>
      </c>
      <c r="P86" s="6">
        <v>0.25</v>
      </c>
      <c r="Q86" s="69">
        <f t="shared" si="27"/>
        <v>6720.299999999999</v>
      </c>
      <c r="R86" s="7">
        <v>0.36</v>
      </c>
      <c r="S86" s="69">
        <f t="shared" si="28"/>
        <v>9677.232</v>
      </c>
      <c r="T86" s="7">
        <v>0.11</v>
      </c>
      <c r="U86" s="69">
        <f t="shared" si="29"/>
        <v>2956.932</v>
      </c>
      <c r="V86" s="6">
        <f t="shared" si="36"/>
        <v>27</v>
      </c>
      <c r="W86" s="3" t="s">
        <v>182</v>
      </c>
      <c r="X86" s="80">
        <v>2240.1</v>
      </c>
      <c r="Y86" s="6">
        <f>0.09+0.22+0.15+0.1</f>
        <v>0.5599999999999999</v>
      </c>
      <c r="Z86" s="69">
        <f t="shared" si="30"/>
        <v>15053.471999999998</v>
      </c>
      <c r="AA86" s="21">
        <v>0.3</v>
      </c>
      <c r="AB86" s="69">
        <f t="shared" si="31"/>
        <v>8064.36</v>
      </c>
      <c r="AC86" s="7">
        <v>0.12</v>
      </c>
      <c r="AD86" s="69">
        <f t="shared" si="32"/>
        <v>3225.7439999999997</v>
      </c>
      <c r="AE86" s="6">
        <v>0.11</v>
      </c>
      <c r="AF86" s="69">
        <f t="shared" si="33"/>
        <v>2956.932</v>
      </c>
      <c r="AG86" s="2"/>
      <c r="AH86" s="17"/>
      <c r="AI86" s="2"/>
      <c r="AJ86" s="2"/>
    </row>
    <row r="87" spans="1:36" ht="12.75">
      <c r="A87" s="6">
        <f t="shared" si="34"/>
        <v>77</v>
      </c>
      <c r="B87" s="6">
        <f t="shared" si="35"/>
        <v>28</v>
      </c>
      <c r="C87" s="3" t="s">
        <v>183</v>
      </c>
      <c r="D87" s="80">
        <v>2058.4</v>
      </c>
      <c r="E87" s="7">
        <f t="shared" si="19"/>
        <v>3.6</v>
      </c>
      <c r="F87" s="7">
        <f t="shared" si="17"/>
        <v>3.6</v>
      </c>
      <c r="G87" s="69">
        <f t="shared" si="18"/>
        <v>88922.88</v>
      </c>
      <c r="H87" s="6">
        <v>0.35</v>
      </c>
      <c r="I87" s="69">
        <f t="shared" si="23"/>
        <v>8645.279999999999</v>
      </c>
      <c r="J87" s="6">
        <v>0.35</v>
      </c>
      <c r="K87" s="69">
        <f t="shared" si="24"/>
        <v>8645.279999999999</v>
      </c>
      <c r="L87" s="6">
        <v>0.45</v>
      </c>
      <c r="M87" s="69">
        <f t="shared" si="25"/>
        <v>11115.36</v>
      </c>
      <c r="N87" s="6">
        <v>0.12</v>
      </c>
      <c r="O87" s="69">
        <f t="shared" si="26"/>
        <v>2964.096</v>
      </c>
      <c r="P87" s="6">
        <v>0.2</v>
      </c>
      <c r="Q87" s="69">
        <f t="shared" si="27"/>
        <v>4940.160000000001</v>
      </c>
      <c r="R87" s="7">
        <v>0.36</v>
      </c>
      <c r="S87" s="69">
        <f t="shared" si="28"/>
        <v>8892.288</v>
      </c>
      <c r="T87" s="7">
        <v>0.31</v>
      </c>
      <c r="U87" s="69">
        <f t="shared" si="29"/>
        <v>7657.2480000000005</v>
      </c>
      <c r="V87" s="6">
        <f t="shared" si="36"/>
        <v>28</v>
      </c>
      <c r="W87" s="3" t="s">
        <v>183</v>
      </c>
      <c r="X87" s="80">
        <v>2058.4</v>
      </c>
      <c r="Y87" s="6">
        <f>0.2+0.15+0.15+0.13</f>
        <v>0.63</v>
      </c>
      <c r="Z87" s="69">
        <f t="shared" si="30"/>
        <v>15561.504</v>
      </c>
      <c r="AA87" s="21">
        <v>0.32</v>
      </c>
      <c r="AB87" s="69">
        <f t="shared" si="31"/>
        <v>7904.255999999999</v>
      </c>
      <c r="AC87" s="7">
        <v>0.2</v>
      </c>
      <c r="AD87" s="69">
        <f t="shared" si="32"/>
        <v>4940.160000000001</v>
      </c>
      <c r="AE87" s="6">
        <v>0.31</v>
      </c>
      <c r="AF87" s="69">
        <f t="shared" si="33"/>
        <v>7657.2480000000005</v>
      </c>
      <c r="AG87" s="2"/>
      <c r="AH87" s="17"/>
      <c r="AI87" s="2"/>
      <c r="AJ87" s="2"/>
    </row>
    <row r="88" spans="1:36" ht="12.75">
      <c r="A88" s="6">
        <f t="shared" si="34"/>
        <v>78</v>
      </c>
      <c r="B88" s="6">
        <f t="shared" si="35"/>
        <v>29</v>
      </c>
      <c r="C88" s="3" t="s">
        <v>184</v>
      </c>
      <c r="D88" s="80">
        <v>2457.6</v>
      </c>
      <c r="E88" s="7">
        <f t="shared" si="19"/>
        <v>3.7199999999999993</v>
      </c>
      <c r="F88" s="7">
        <f t="shared" si="17"/>
        <v>3.720000000000001</v>
      </c>
      <c r="G88" s="69">
        <f t="shared" si="18"/>
        <v>109707.26400000002</v>
      </c>
      <c r="H88" s="6">
        <v>0.35</v>
      </c>
      <c r="I88" s="69">
        <f t="shared" si="23"/>
        <v>10321.92</v>
      </c>
      <c r="J88" s="6">
        <v>0.35</v>
      </c>
      <c r="K88" s="69">
        <f t="shared" si="24"/>
        <v>10321.92</v>
      </c>
      <c r="L88" s="6">
        <v>0.45</v>
      </c>
      <c r="M88" s="69">
        <f t="shared" si="25"/>
        <v>13271.04</v>
      </c>
      <c r="N88" s="6">
        <v>0.15</v>
      </c>
      <c r="O88" s="69">
        <f t="shared" si="26"/>
        <v>4423.68</v>
      </c>
      <c r="P88" s="6">
        <v>0.2</v>
      </c>
      <c r="Q88" s="69">
        <f t="shared" si="27"/>
        <v>5898.24</v>
      </c>
      <c r="R88" s="7">
        <v>0.36</v>
      </c>
      <c r="S88" s="69">
        <f t="shared" si="28"/>
        <v>10616.832</v>
      </c>
      <c r="T88" s="7">
        <v>0.32</v>
      </c>
      <c r="U88" s="69">
        <f t="shared" si="29"/>
        <v>9437.184000000001</v>
      </c>
      <c r="V88" s="6">
        <f t="shared" si="36"/>
        <v>29</v>
      </c>
      <c r="W88" s="3" t="s">
        <v>184</v>
      </c>
      <c r="X88" s="80">
        <v>2457.6</v>
      </c>
      <c r="Y88" s="6">
        <f>0.2+0.1+0.2+0.1</f>
        <v>0.6</v>
      </c>
      <c r="Z88" s="69">
        <f t="shared" si="30"/>
        <v>17694.72</v>
      </c>
      <c r="AA88" s="21">
        <v>0.32</v>
      </c>
      <c r="AB88" s="69">
        <f t="shared" si="31"/>
        <v>9437.184000000001</v>
      </c>
      <c r="AC88" s="7">
        <v>0.3</v>
      </c>
      <c r="AD88" s="69">
        <f t="shared" si="32"/>
        <v>8847.36</v>
      </c>
      <c r="AE88" s="6">
        <v>0.32</v>
      </c>
      <c r="AF88" s="69">
        <f t="shared" si="33"/>
        <v>9437.184000000001</v>
      </c>
      <c r="AG88" s="2"/>
      <c r="AH88" s="17"/>
      <c r="AI88" s="2"/>
      <c r="AJ88" s="2"/>
    </row>
    <row r="89" spans="1:36" ht="12.75">
      <c r="A89" s="6">
        <f t="shared" si="34"/>
        <v>79</v>
      </c>
      <c r="B89" s="6">
        <f t="shared" si="35"/>
        <v>30</v>
      </c>
      <c r="C89" s="3" t="s">
        <v>231</v>
      </c>
      <c r="D89" s="43">
        <v>1776.1</v>
      </c>
      <c r="E89" s="7">
        <f t="shared" si="19"/>
        <v>3.1999999999999997</v>
      </c>
      <c r="F89" s="7">
        <f t="shared" si="17"/>
        <v>3.1999999999999997</v>
      </c>
      <c r="G89" s="69">
        <f t="shared" si="18"/>
        <v>68202.23999999999</v>
      </c>
      <c r="H89" s="6">
        <v>0.35</v>
      </c>
      <c r="I89" s="69">
        <f t="shared" si="23"/>
        <v>7459.619999999999</v>
      </c>
      <c r="J89" s="6">
        <v>0.35</v>
      </c>
      <c r="K89" s="69">
        <f t="shared" si="24"/>
        <v>7459.619999999999</v>
      </c>
      <c r="L89" s="6">
        <v>0.5</v>
      </c>
      <c r="M89" s="69">
        <f t="shared" si="25"/>
        <v>10656.599999999999</v>
      </c>
      <c r="N89" s="6">
        <v>0.12</v>
      </c>
      <c r="O89" s="69">
        <f t="shared" si="26"/>
        <v>2557.584</v>
      </c>
      <c r="P89" s="6">
        <v>0.2</v>
      </c>
      <c r="Q89" s="69">
        <f t="shared" si="27"/>
        <v>4262.64</v>
      </c>
      <c r="R89" s="7">
        <v>0.36</v>
      </c>
      <c r="S89" s="69">
        <f t="shared" si="28"/>
        <v>7672.7519999999995</v>
      </c>
      <c r="T89" s="7">
        <v>0.11</v>
      </c>
      <c r="U89" s="69">
        <f t="shared" si="29"/>
        <v>2344.4519999999998</v>
      </c>
      <c r="V89" s="6">
        <f t="shared" si="36"/>
        <v>30</v>
      </c>
      <c r="W89" s="3" t="s">
        <v>231</v>
      </c>
      <c r="X89" s="43">
        <v>1776.1</v>
      </c>
      <c r="Y89" s="6">
        <f>0.13+0.22+0.21+0.1</f>
        <v>0.6599999999999999</v>
      </c>
      <c r="Z89" s="69">
        <f t="shared" si="30"/>
        <v>14066.712</v>
      </c>
      <c r="AA89" s="21">
        <v>0.32</v>
      </c>
      <c r="AB89" s="69">
        <f t="shared" si="31"/>
        <v>6820.224</v>
      </c>
      <c r="AC89" s="7">
        <v>0.12</v>
      </c>
      <c r="AD89" s="69">
        <f t="shared" si="32"/>
        <v>2557.584</v>
      </c>
      <c r="AE89" s="6">
        <v>0.11</v>
      </c>
      <c r="AF89" s="69">
        <f t="shared" si="33"/>
        <v>2344.4519999999998</v>
      </c>
      <c r="AG89" s="2"/>
      <c r="AH89" s="17"/>
      <c r="AI89" s="2"/>
      <c r="AJ89" s="2"/>
    </row>
    <row r="90" spans="1:36" ht="12.75">
      <c r="A90" s="6">
        <f t="shared" si="34"/>
        <v>80</v>
      </c>
      <c r="B90" s="6">
        <f t="shared" si="35"/>
        <v>31</v>
      </c>
      <c r="C90" s="3" t="s">
        <v>101</v>
      </c>
      <c r="D90" s="43">
        <v>6290.3</v>
      </c>
      <c r="E90" s="7">
        <f>H90+J90+L90+N90+P90+R90+T90+Y90+AA90+AC90+AE90</f>
        <v>4</v>
      </c>
      <c r="F90" s="7">
        <f t="shared" si="17"/>
        <v>3.9999999999999996</v>
      </c>
      <c r="G90" s="69">
        <f t="shared" si="18"/>
        <v>301934.39999999997</v>
      </c>
      <c r="H90" s="6">
        <v>0.6</v>
      </c>
      <c r="I90" s="69">
        <f t="shared" si="23"/>
        <v>45290.159999999996</v>
      </c>
      <c r="J90" s="6">
        <v>0.5</v>
      </c>
      <c r="K90" s="69">
        <f t="shared" si="24"/>
        <v>37741.8</v>
      </c>
      <c r="L90" s="6">
        <v>0.7</v>
      </c>
      <c r="M90" s="69">
        <f t="shared" si="25"/>
        <v>52838.520000000004</v>
      </c>
      <c r="N90" s="6">
        <v>0.2</v>
      </c>
      <c r="O90" s="69">
        <f t="shared" si="26"/>
        <v>15096.720000000001</v>
      </c>
      <c r="P90" s="6">
        <v>0.24</v>
      </c>
      <c r="Q90" s="69">
        <f t="shared" si="27"/>
        <v>18116.064</v>
      </c>
      <c r="R90" s="7">
        <v>0.36</v>
      </c>
      <c r="S90" s="69">
        <f t="shared" si="28"/>
        <v>27174.095999999998</v>
      </c>
      <c r="T90" s="7">
        <v>0.2</v>
      </c>
      <c r="U90" s="69">
        <f t="shared" si="29"/>
        <v>15096.720000000001</v>
      </c>
      <c r="V90" s="6">
        <f t="shared" si="36"/>
        <v>31</v>
      </c>
      <c r="W90" s="3" t="s">
        <v>101</v>
      </c>
      <c r="X90" s="43">
        <v>6290.3</v>
      </c>
      <c r="Y90" s="6">
        <v>0.5</v>
      </c>
      <c r="Z90" s="69">
        <f t="shared" si="30"/>
        <v>37741.8</v>
      </c>
      <c r="AA90" s="2">
        <v>0.4</v>
      </c>
      <c r="AB90" s="69">
        <f t="shared" si="31"/>
        <v>30193.440000000002</v>
      </c>
      <c r="AC90" s="7">
        <v>0.2</v>
      </c>
      <c r="AD90" s="69">
        <f t="shared" si="32"/>
        <v>15096.720000000001</v>
      </c>
      <c r="AE90" s="6">
        <v>0.1</v>
      </c>
      <c r="AF90" s="69">
        <f t="shared" si="33"/>
        <v>7548.360000000001</v>
      </c>
      <c r="AG90" s="2"/>
      <c r="AH90" s="17"/>
      <c r="AI90" s="2"/>
      <c r="AJ90" s="2"/>
    </row>
    <row r="91" spans="1:36" ht="12.75">
      <c r="A91" s="6">
        <f t="shared" si="34"/>
        <v>81</v>
      </c>
      <c r="B91" s="6">
        <f t="shared" si="35"/>
        <v>32</v>
      </c>
      <c r="C91" s="3" t="s">
        <v>185</v>
      </c>
      <c r="D91" s="80">
        <v>958.9</v>
      </c>
      <c r="E91" s="7">
        <f t="shared" si="19"/>
        <v>3.27</v>
      </c>
      <c r="F91" s="7">
        <f t="shared" si="17"/>
        <v>3.2699999999999996</v>
      </c>
      <c r="G91" s="69">
        <f t="shared" si="18"/>
        <v>37627.236</v>
      </c>
      <c r="H91" s="6">
        <v>0.35</v>
      </c>
      <c r="I91" s="69">
        <f t="shared" si="23"/>
        <v>4027.379999999999</v>
      </c>
      <c r="J91" s="6">
        <v>0.35</v>
      </c>
      <c r="K91" s="69">
        <f t="shared" si="24"/>
        <v>4027.379999999999</v>
      </c>
      <c r="L91" s="6">
        <v>0.45</v>
      </c>
      <c r="M91" s="69">
        <f t="shared" si="25"/>
        <v>5178.0599999999995</v>
      </c>
      <c r="N91" s="6">
        <v>0.2</v>
      </c>
      <c r="O91" s="69">
        <f t="shared" si="26"/>
        <v>2301.36</v>
      </c>
      <c r="P91" s="6">
        <v>0.25</v>
      </c>
      <c r="Q91" s="69">
        <f t="shared" si="27"/>
        <v>2876.7</v>
      </c>
      <c r="R91" s="7">
        <v>0.36</v>
      </c>
      <c r="S91" s="69">
        <f t="shared" si="28"/>
        <v>4142.447999999999</v>
      </c>
      <c r="T91" s="7">
        <v>0.15</v>
      </c>
      <c r="U91" s="69">
        <f t="shared" si="29"/>
        <v>1726.0199999999998</v>
      </c>
      <c r="V91" s="6">
        <f t="shared" si="36"/>
        <v>32</v>
      </c>
      <c r="W91" s="3" t="s">
        <v>185</v>
      </c>
      <c r="X91" s="80">
        <v>958.9</v>
      </c>
      <c r="Y91" s="6">
        <f>0.12+0.14+0.15+0.1</f>
        <v>0.51</v>
      </c>
      <c r="Z91" s="69">
        <f t="shared" si="30"/>
        <v>5868.468</v>
      </c>
      <c r="AA91" s="21">
        <v>0.3</v>
      </c>
      <c r="AB91" s="69">
        <f t="shared" si="31"/>
        <v>3452.0399999999995</v>
      </c>
      <c r="AC91" s="7">
        <v>0.2</v>
      </c>
      <c r="AD91" s="69">
        <f t="shared" si="32"/>
        <v>2301.36</v>
      </c>
      <c r="AE91" s="6">
        <v>0.15</v>
      </c>
      <c r="AF91" s="69">
        <f t="shared" si="33"/>
        <v>1726.0199999999998</v>
      </c>
      <c r="AG91" s="2"/>
      <c r="AH91" s="17"/>
      <c r="AI91" s="2"/>
      <c r="AJ91" s="2"/>
    </row>
    <row r="92" spans="1:36" ht="12.75">
      <c r="A92" s="6">
        <f t="shared" si="34"/>
        <v>82</v>
      </c>
      <c r="B92" s="6">
        <f t="shared" si="35"/>
        <v>33</v>
      </c>
      <c r="C92" s="3" t="s">
        <v>186</v>
      </c>
      <c r="D92" s="80">
        <v>975.5</v>
      </c>
      <c r="E92" s="7">
        <f t="shared" si="19"/>
        <v>3.0999999999999996</v>
      </c>
      <c r="F92" s="7">
        <f t="shared" si="17"/>
        <v>3.0999999999999996</v>
      </c>
      <c r="G92" s="69">
        <f t="shared" si="18"/>
        <v>36288.6</v>
      </c>
      <c r="H92" s="6">
        <v>0.35</v>
      </c>
      <c r="I92" s="69">
        <f t="shared" si="23"/>
        <v>4097.099999999999</v>
      </c>
      <c r="J92" s="6">
        <v>0.3</v>
      </c>
      <c r="K92" s="69">
        <f t="shared" si="24"/>
        <v>3511.7999999999997</v>
      </c>
      <c r="L92" s="6">
        <v>0.45</v>
      </c>
      <c r="M92" s="69">
        <f t="shared" si="25"/>
        <v>5267.700000000001</v>
      </c>
      <c r="N92" s="6">
        <v>0.1</v>
      </c>
      <c r="O92" s="69">
        <f t="shared" si="26"/>
        <v>1170.6000000000001</v>
      </c>
      <c r="P92" s="6">
        <v>0.2</v>
      </c>
      <c r="Q92" s="69">
        <f t="shared" si="27"/>
        <v>2341.2000000000003</v>
      </c>
      <c r="R92" s="7">
        <v>0.36</v>
      </c>
      <c r="S92" s="69">
        <f t="shared" si="28"/>
        <v>4214.16</v>
      </c>
      <c r="T92" s="7">
        <v>0.11</v>
      </c>
      <c r="U92" s="69">
        <f t="shared" si="29"/>
        <v>1287.66</v>
      </c>
      <c r="V92" s="6">
        <f t="shared" si="36"/>
        <v>33</v>
      </c>
      <c r="W92" s="3" t="s">
        <v>186</v>
      </c>
      <c r="X92" s="80">
        <v>975.5</v>
      </c>
      <c r="Y92" s="6">
        <f>0.2+0.15+0.12+0.1</f>
        <v>0.57</v>
      </c>
      <c r="Z92" s="69">
        <f t="shared" si="30"/>
        <v>6672.42</v>
      </c>
      <c r="AA92" s="21">
        <v>0.4</v>
      </c>
      <c r="AB92" s="69">
        <f t="shared" si="31"/>
        <v>4682.400000000001</v>
      </c>
      <c r="AC92" s="7">
        <v>0.15</v>
      </c>
      <c r="AD92" s="69">
        <f t="shared" si="32"/>
        <v>1755.8999999999999</v>
      </c>
      <c r="AE92" s="6">
        <v>0.11</v>
      </c>
      <c r="AF92" s="69">
        <f t="shared" si="33"/>
        <v>1287.66</v>
      </c>
      <c r="AG92" s="2"/>
      <c r="AH92" s="17"/>
      <c r="AI92" s="2"/>
      <c r="AJ92" s="2"/>
    </row>
    <row r="93" spans="1:36" ht="12.75">
      <c r="A93" s="6">
        <f t="shared" si="34"/>
        <v>83</v>
      </c>
      <c r="B93" s="6">
        <f t="shared" si="35"/>
        <v>34</v>
      </c>
      <c r="C93" s="3" t="s">
        <v>43</v>
      </c>
      <c r="D93" s="80">
        <v>968.6</v>
      </c>
      <c r="E93" s="7">
        <f t="shared" si="19"/>
        <v>3.1999999999999997</v>
      </c>
      <c r="F93" s="7">
        <f t="shared" si="17"/>
        <v>3.1999999999999997</v>
      </c>
      <c r="G93" s="69">
        <f t="shared" si="18"/>
        <v>37194.24</v>
      </c>
      <c r="H93" s="6">
        <v>0.35</v>
      </c>
      <c r="I93" s="69">
        <f t="shared" si="23"/>
        <v>4068.12</v>
      </c>
      <c r="J93" s="6">
        <v>0.35</v>
      </c>
      <c r="K93" s="69">
        <f t="shared" si="24"/>
        <v>4068.12</v>
      </c>
      <c r="L93" s="6">
        <v>0.45</v>
      </c>
      <c r="M93" s="69">
        <f t="shared" si="25"/>
        <v>5230.4400000000005</v>
      </c>
      <c r="N93" s="6">
        <v>0.1</v>
      </c>
      <c r="O93" s="69">
        <f t="shared" si="26"/>
        <v>1162.3200000000002</v>
      </c>
      <c r="P93" s="6">
        <v>0.22</v>
      </c>
      <c r="Q93" s="69">
        <f t="shared" si="27"/>
        <v>2557.1040000000003</v>
      </c>
      <c r="R93" s="7">
        <v>0.36</v>
      </c>
      <c r="S93" s="69">
        <f t="shared" si="28"/>
        <v>4184.352</v>
      </c>
      <c r="T93" s="7">
        <v>0.11</v>
      </c>
      <c r="U93" s="69">
        <f t="shared" si="29"/>
        <v>1278.5520000000001</v>
      </c>
      <c r="V93" s="6">
        <f t="shared" si="36"/>
        <v>34</v>
      </c>
      <c r="W93" s="3" t="s">
        <v>43</v>
      </c>
      <c r="X93" s="80">
        <v>968.6</v>
      </c>
      <c r="Y93" s="6">
        <f>0.15+0.2+0.14+0.11</f>
        <v>0.6</v>
      </c>
      <c r="Z93" s="69">
        <f t="shared" si="30"/>
        <v>6973.92</v>
      </c>
      <c r="AA93" s="21">
        <v>0.3</v>
      </c>
      <c r="AB93" s="69">
        <f t="shared" si="31"/>
        <v>3486.96</v>
      </c>
      <c r="AC93" s="7">
        <v>0.25</v>
      </c>
      <c r="AD93" s="69">
        <f t="shared" si="32"/>
        <v>2905.8</v>
      </c>
      <c r="AE93" s="6">
        <v>0.11</v>
      </c>
      <c r="AF93" s="69">
        <f t="shared" si="33"/>
        <v>1278.5520000000001</v>
      </c>
      <c r="AG93" s="2"/>
      <c r="AH93" s="17"/>
      <c r="AI93" s="2"/>
      <c r="AJ93" s="2"/>
    </row>
    <row r="94" spans="1:36" ht="12.75">
      <c r="A94" s="6">
        <f t="shared" si="34"/>
        <v>84</v>
      </c>
      <c r="B94" s="6">
        <f t="shared" si="35"/>
        <v>35</v>
      </c>
      <c r="C94" s="3" t="s">
        <v>44</v>
      </c>
      <c r="D94" s="80">
        <v>1522.9</v>
      </c>
      <c r="E94" s="7">
        <f t="shared" si="19"/>
        <v>3.22</v>
      </c>
      <c r="F94" s="7">
        <f t="shared" si="17"/>
        <v>3.22</v>
      </c>
      <c r="G94" s="69">
        <f t="shared" si="18"/>
        <v>58844.85600000001</v>
      </c>
      <c r="H94" s="6">
        <v>0.35</v>
      </c>
      <c r="I94" s="69">
        <f t="shared" si="23"/>
        <v>6396.18</v>
      </c>
      <c r="J94" s="6">
        <v>0.35</v>
      </c>
      <c r="K94" s="69">
        <f t="shared" si="24"/>
        <v>6396.18</v>
      </c>
      <c r="L94" s="6">
        <v>0.3</v>
      </c>
      <c r="M94" s="69">
        <f t="shared" si="25"/>
        <v>5482.4400000000005</v>
      </c>
      <c r="N94" s="6">
        <v>0.12</v>
      </c>
      <c r="O94" s="69">
        <f t="shared" si="26"/>
        <v>2192.9759999999997</v>
      </c>
      <c r="P94" s="6">
        <v>0.25</v>
      </c>
      <c r="Q94" s="69">
        <f t="shared" si="27"/>
        <v>4568.700000000001</v>
      </c>
      <c r="R94" s="7">
        <v>0.36</v>
      </c>
      <c r="S94" s="69">
        <f t="shared" si="28"/>
        <v>6578.928</v>
      </c>
      <c r="T94" s="7">
        <v>0.31</v>
      </c>
      <c r="U94" s="69">
        <f t="shared" si="29"/>
        <v>5665.188</v>
      </c>
      <c r="V94" s="6">
        <f t="shared" si="36"/>
        <v>35</v>
      </c>
      <c r="W94" s="3" t="s">
        <v>44</v>
      </c>
      <c r="X94" s="80">
        <v>1522.9</v>
      </c>
      <c r="Y94" s="6">
        <f>0.12+0.12+0.11</f>
        <v>0.35</v>
      </c>
      <c r="Z94" s="69">
        <f t="shared" si="30"/>
        <v>6396.18</v>
      </c>
      <c r="AA94" s="21">
        <v>0.32</v>
      </c>
      <c r="AB94" s="69">
        <f t="shared" si="31"/>
        <v>5847.936000000001</v>
      </c>
      <c r="AC94" s="7">
        <v>0.2</v>
      </c>
      <c r="AD94" s="69">
        <f t="shared" si="32"/>
        <v>3654.9600000000005</v>
      </c>
      <c r="AE94" s="6">
        <v>0.31</v>
      </c>
      <c r="AF94" s="69">
        <f t="shared" si="33"/>
        <v>5665.188</v>
      </c>
      <c r="AG94" s="2"/>
      <c r="AH94" s="17"/>
      <c r="AI94" s="2"/>
      <c r="AJ94" s="2"/>
    </row>
    <row r="95" spans="1:36" ht="12.75">
      <c r="A95" s="6">
        <f t="shared" si="34"/>
        <v>85</v>
      </c>
      <c r="B95" s="6">
        <f t="shared" si="35"/>
        <v>36</v>
      </c>
      <c r="C95" s="3" t="s">
        <v>45</v>
      </c>
      <c r="D95" s="80">
        <v>1517.4</v>
      </c>
      <c r="E95" s="7">
        <f t="shared" si="19"/>
        <v>3.2600000000000002</v>
      </c>
      <c r="F95" s="7">
        <f t="shared" si="17"/>
        <v>3.26</v>
      </c>
      <c r="G95" s="69">
        <f t="shared" si="18"/>
        <v>59360.687999999995</v>
      </c>
      <c r="H95" s="6">
        <v>0.3</v>
      </c>
      <c r="I95" s="69">
        <f t="shared" si="23"/>
        <v>5462.64</v>
      </c>
      <c r="J95" s="6">
        <v>0.3</v>
      </c>
      <c r="K95" s="69">
        <f t="shared" si="24"/>
        <v>5462.64</v>
      </c>
      <c r="L95" s="6">
        <v>0.4</v>
      </c>
      <c r="M95" s="69">
        <f t="shared" si="25"/>
        <v>7283.52</v>
      </c>
      <c r="N95" s="6">
        <v>0.1</v>
      </c>
      <c r="O95" s="69">
        <f t="shared" si="26"/>
        <v>1820.88</v>
      </c>
      <c r="P95" s="6">
        <v>0.2</v>
      </c>
      <c r="Q95" s="69">
        <f t="shared" si="27"/>
        <v>3641.76</v>
      </c>
      <c r="R95" s="7">
        <v>0.36</v>
      </c>
      <c r="S95" s="69">
        <f t="shared" si="28"/>
        <v>6555.168</v>
      </c>
      <c r="T95" s="7">
        <v>0.2</v>
      </c>
      <c r="U95" s="69">
        <f t="shared" si="29"/>
        <v>3641.76</v>
      </c>
      <c r="V95" s="6">
        <f t="shared" si="36"/>
        <v>36</v>
      </c>
      <c r="W95" s="3" t="s">
        <v>45</v>
      </c>
      <c r="X95" s="80">
        <v>1517.4</v>
      </c>
      <c r="Y95" s="6">
        <f>0.2+0.2+0.11+0.13</f>
        <v>0.64</v>
      </c>
      <c r="Z95" s="69">
        <f t="shared" si="30"/>
        <v>11653.632000000001</v>
      </c>
      <c r="AA95" s="21">
        <v>0.29</v>
      </c>
      <c r="AB95" s="69">
        <f t="shared" si="31"/>
        <v>5280.552</v>
      </c>
      <c r="AC95" s="7">
        <v>0.22</v>
      </c>
      <c r="AD95" s="69">
        <f t="shared" si="32"/>
        <v>4005.9360000000006</v>
      </c>
      <c r="AE95" s="6">
        <v>0.25</v>
      </c>
      <c r="AF95" s="69">
        <f t="shared" si="33"/>
        <v>4552.200000000001</v>
      </c>
      <c r="AG95" s="2"/>
      <c r="AH95" s="17"/>
      <c r="AI95" s="2"/>
      <c r="AJ95" s="2"/>
    </row>
    <row r="96" spans="1:36" ht="12.75">
      <c r="A96" s="6">
        <f t="shared" si="34"/>
        <v>86</v>
      </c>
      <c r="B96" s="6">
        <f t="shared" si="35"/>
        <v>37</v>
      </c>
      <c r="C96" s="3" t="s">
        <v>46</v>
      </c>
      <c r="D96" s="80">
        <v>1550.1</v>
      </c>
      <c r="E96" s="7">
        <f t="shared" si="19"/>
        <v>3.7999999999999994</v>
      </c>
      <c r="F96" s="7">
        <f t="shared" si="17"/>
        <v>3.7999999999999994</v>
      </c>
      <c r="G96" s="69">
        <f t="shared" si="18"/>
        <v>70684.55999999998</v>
      </c>
      <c r="H96" s="6">
        <v>0.35</v>
      </c>
      <c r="I96" s="69">
        <f t="shared" si="23"/>
        <v>6510.42</v>
      </c>
      <c r="J96" s="6">
        <v>0.35</v>
      </c>
      <c r="K96" s="69">
        <f t="shared" si="24"/>
        <v>6510.42</v>
      </c>
      <c r="L96" s="6">
        <v>0.43</v>
      </c>
      <c r="M96" s="69">
        <f t="shared" si="25"/>
        <v>7998.516</v>
      </c>
      <c r="N96" s="6">
        <v>0.15</v>
      </c>
      <c r="O96" s="69">
        <f t="shared" si="26"/>
        <v>2790.18</v>
      </c>
      <c r="P96" s="6">
        <v>0.25</v>
      </c>
      <c r="Q96" s="69">
        <f t="shared" si="27"/>
        <v>4650.299999999999</v>
      </c>
      <c r="R96" s="7">
        <v>0.36</v>
      </c>
      <c r="S96" s="69">
        <f t="shared" si="28"/>
        <v>6696.431999999999</v>
      </c>
      <c r="T96" s="7">
        <v>0.31</v>
      </c>
      <c r="U96" s="69">
        <f t="shared" si="29"/>
        <v>5766.371999999999</v>
      </c>
      <c r="V96" s="6">
        <f t="shared" si="36"/>
        <v>37</v>
      </c>
      <c r="W96" s="3" t="s">
        <v>46</v>
      </c>
      <c r="X96" s="80">
        <v>1550.1</v>
      </c>
      <c r="Y96" s="6">
        <f>0.25+0.1+0.12+0.11</f>
        <v>0.58</v>
      </c>
      <c r="Z96" s="69">
        <f t="shared" si="30"/>
        <v>10788.695999999998</v>
      </c>
      <c r="AA96" s="21">
        <f>0.15+0.2+0.1</f>
        <v>0.44999999999999996</v>
      </c>
      <c r="AB96" s="69">
        <f t="shared" si="31"/>
        <v>8370.539999999997</v>
      </c>
      <c r="AC96" s="7">
        <v>0.26</v>
      </c>
      <c r="AD96" s="69">
        <f t="shared" si="32"/>
        <v>4836.312</v>
      </c>
      <c r="AE96" s="6">
        <v>0.31</v>
      </c>
      <c r="AF96" s="69">
        <f t="shared" si="33"/>
        <v>5766.371999999999</v>
      </c>
      <c r="AG96" s="2"/>
      <c r="AH96" s="17"/>
      <c r="AI96" s="2"/>
      <c r="AJ96" s="2"/>
    </row>
    <row r="97" spans="1:36" ht="12.75">
      <c r="A97" s="6">
        <f t="shared" si="34"/>
        <v>87</v>
      </c>
      <c r="B97" s="6">
        <f t="shared" si="35"/>
        <v>38</v>
      </c>
      <c r="C97" s="3" t="s">
        <v>47</v>
      </c>
      <c r="D97" s="80">
        <v>1526.8</v>
      </c>
      <c r="E97" s="7">
        <f t="shared" si="19"/>
        <v>3.7000000000000006</v>
      </c>
      <c r="F97" s="7">
        <f t="shared" si="17"/>
        <v>3.6999999999999997</v>
      </c>
      <c r="G97" s="69">
        <f t="shared" si="18"/>
        <v>67789.92</v>
      </c>
      <c r="H97" s="6">
        <v>0.35</v>
      </c>
      <c r="I97" s="69">
        <f t="shared" si="23"/>
        <v>6412.5599999999995</v>
      </c>
      <c r="J97" s="6">
        <v>0.35</v>
      </c>
      <c r="K97" s="69">
        <f t="shared" si="24"/>
        <v>6412.5599999999995</v>
      </c>
      <c r="L97" s="6">
        <v>0.45</v>
      </c>
      <c r="M97" s="69">
        <f t="shared" si="25"/>
        <v>8244.72</v>
      </c>
      <c r="N97" s="6">
        <v>0.14</v>
      </c>
      <c r="O97" s="69">
        <f t="shared" si="26"/>
        <v>2565.0240000000003</v>
      </c>
      <c r="P97" s="6">
        <v>0.2</v>
      </c>
      <c r="Q97" s="69">
        <f t="shared" si="27"/>
        <v>3664.32</v>
      </c>
      <c r="R97" s="7">
        <v>0.36</v>
      </c>
      <c r="S97" s="69">
        <f t="shared" si="28"/>
        <v>6595.775999999999</v>
      </c>
      <c r="T97" s="7">
        <v>0.31</v>
      </c>
      <c r="U97" s="69">
        <f t="shared" si="29"/>
        <v>5679.696</v>
      </c>
      <c r="V97" s="6">
        <f t="shared" si="36"/>
        <v>38</v>
      </c>
      <c r="W97" s="3" t="s">
        <v>47</v>
      </c>
      <c r="X97" s="80">
        <v>1526.8</v>
      </c>
      <c r="Y97" s="6">
        <f>0.12+0.2+0.2+0.1</f>
        <v>0.62</v>
      </c>
      <c r="Z97" s="69">
        <f t="shared" si="30"/>
        <v>11359.392</v>
      </c>
      <c r="AA97" s="21">
        <f>0.1+0.2+0.09</f>
        <v>0.39</v>
      </c>
      <c r="AB97" s="69">
        <f t="shared" si="31"/>
        <v>7145.424</v>
      </c>
      <c r="AC97" s="7">
        <v>0.22</v>
      </c>
      <c r="AD97" s="69">
        <f t="shared" si="32"/>
        <v>4030.7520000000004</v>
      </c>
      <c r="AE97" s="6">
        <v>0.31</v>
      </c>
      <c r="AF97" s="69">
        <f t="shared" si="33"/>
        <v>5679.696</v>
      </c>
      <c r="AG97" s="2"/>
      <c r="AH97" s="17"/>
      <c r="AI97" s="2"/>
      <c r="AJ97" s="2"/>
    </row>
    <row r="98" spans="1:36" ht="12.75">
      <c r="A98" s="6">
        <f t="shared" si="34"/>
        <v>88</v>
      </c>
      <c r="B98" s="6">
        <f t="shared" si="35"/>
        <v>39</v>
      </c>
      <c r="C98" s="3" t="s">
        <v>48</v>
      </c>
      <c r="D98" s="168">
        <v>949</v>
      </c>
      <c r="E98" s="7">
        <f t="shared" si="19"/>
        <v>3.42</v>
      </c>
      <c r="F98" s="7">
        <f t="shared" si="17"/>
        <v>3.4199999999999995</v>
      </c>
      <c r="G98" s="69">
        <f t="shared" si="18"/>
        <v>38946.95999999999</v>
      </c>
      <c r="H98" s="6">
        <v>0.35</v>
      </c>
      <c r="I98" s="69">
        <f t="shared" si="23"/>
        <v>3985.7999999999997</v>
      </c>
      <c r="J98" s="6">
        <v>0.35</v>
      </c>
      <c r="K98" s="69">
        <f t="shared" si="24"/>
        <v>3985.7999999999997</v>
      </c>
      <c r="L98" s="6">
        <v>0.45</v>
      </c>
      <c r="M98" s="69">
        <f t="shared" si="25"/>
        <v>5124.6</v>
      </c>
      <c r="N98" s="6">
        <v>0.09</v>
      </c>
      <c r="O98" s="69">
        <f t="shared" si="26"/>
        <v>1024.92</v>
      </c>
      <c r="P98" s="6">
        <v>0.3</v>
      </c>
      <c r="Q98" s="69">
        <f t="shared" si="27"/>
        <v>3416.3999999999996</v>
      </c>
      <c r="R98" s="7">
        <v>0.36</v>
      </c>
      <c r="S98" s="69">
        <f t="shared" si="28"/>
        <v>4099.68</v>
      </c>
      <c r="T98" s="7">
        <v>0.21</v>
      </c>
      <c r="U98" s="69">
        <f t="shared" si="29"/>
        <v>2391.48</v>
      </c>
      <c r="V98" s="6">
        <f t="shared" si="36"/>
        <v>39</v>
      </c>
      <c r="W98" s="3" t="s">
        <v>48</v>
      </c>
      <c r="X98" s="168">
        <v>949</v>
      </c>
      <c r="Y98" s="6">
        <f>0.12+0.15+0.11+0.1</f>
        <v>0.48</v>
      </c>
      <c r="Z98" s="69">
        <f t="shared" si="30"/>
        <v>5466.24</v>
      </c>
      <c r="AA98" s="21">
        <f>0.1+0.2+0.1</f>
        <v>0.4</v>
      </c>
      <c r="AB98" s="69">
        <f t="shared" si="31"/>
        <v>4555.200000000001</v>
      </c>
      <c r="AC98" s="7">
        <v>0.2</v>
      </c>
      <c r="AD98" s="69">
        <f t="shared" si="32"/>
        <v>2277.6000000000004</v>
      </c>
      <c r="AE98" s="6">
        <v>0.23</v>
      </c>
      <c r="AF98" s="69">
        <f t="shared" si="33"/>
        <v>2619.2400000000002</v>
      </c>
      <c r="AG98" s="2"/>
      <c r="AH98" s="17"/>
      <c r="AI98" s="2"/>
      <c r="AJ98" s="2"/>
    </row>
    <row r="99" spans="1:36" ht="12.75">
      <c r="A99" s="6">
        <f t="shared" si="34"/>
        <v>89</v>
      </c>
      <c r="B99" s="6">
        <f t="shared" si="35"/>
        <v>40</v>
      </c>
      <c r="C99" s="3" t="s">
        <v>49</v>
      </c>
      <c r="D99" s="80">
        <v>1319.5</v>
      </c>
      <c r="E99" s="7">
        <f t="shared" si="19"/>
        <v>3.2</v>
      </c>
      <c r="F99" s="7">
        <f t="shared" si="17"/>
        <v>3.2000000000000006</v>
      </c>
      <c r="G99" s="69">
        <f t="shared" si="18"/>
        <v>50668.8</v>
      </c>
      <c r="H99" s="6">
        <v>0.35</v>
      </c>
      <c r="I99" s="69">
        <f t="shared" si="23"/>
        <v>5541.9</v>
      </c>
      <c r="J99" s="6">
        <v>0.35</v>
      </c>
      <c r="K99" s="69">
        <f t="shared" si="24"/>
        <v>5541.9</v>
      </c>
      <c r="L99" s="6">
        <v>0.45</v>
      </c>
      <c r="M99" s="69">
        <f t="shared" si="25"/>
        <v>7125.299999999999</v>
      </c>
      <c r="N99" s="6">
        <v>0</v>
      </c>
      <c r="O99" s="69">
        <f t="shared" si="26"/>
        <v>0</v>
      </c>
      <c r="P99" s="6">
        <v>0.15</v>
      </c>
      <c r="Q99" s="69">
        <f t="shared" si="27"/>
        <v>2375.1</v>
      </c>
      <c r="R99" s="7">
        <v>0.36</v>
      </c>
      <c r="S99" s="69">
        <f t="shared" si="28"/>
        <v>5700.24</v>
      </c>
      <c r="T99" s="7">
        <v>0.11</v>
      </c>
      <c r="U99" s="69">
        <f t="shared" si="29"/>
        <v>1741.7400000000002</v>
      </c>
      <c r="V99" s="6">
        <f t="shared" si="36"/>
        <v>40</v>
      </c>
      <c r="W99" s="3" t="s">
        <v>49</v>
      </c>
      <c r="X99" s="80">
        <v>1319.5</v>
      </c>
      <c r="Y99" s="6">
        <f>0.21+0.2+0.2+0.12</f>
        <v>0.7300000000000001</v>
      </c>
      <c r="Z99" s="69">
        <f t="shared" si="30"/>
        <v>11558.820000000002</v>
      </c>
      <c r="AA99" s="21">
        <f>0.09+0.2+0.1</f>
        <v>0.39</v>
      </c>
      <c r="AB99" s="69">
        <f t="shared" si="31"/>
        <v>6175.26</v>
      </c>
      <c r="AC99" s="7">
        <v>0.2</v>
      </c>
      <c r="AD99" s="69">
        <f t="shared" si="32"/>
        <v>3166.8</v>
      </c>
      <c r="AE99" s="6">
        <v>0.11</v>
      </c>
      <c r="AF99" s="69">
        <f t="shared" si="33"/>
        <v>1741.7400000000002</v>
      </c>
      <c r="AG99" s="2"/>
      <c r="AH99" s="17"/>
      <c r="AI99" s="2"/>
      <c r="AJ99" s="2"/>
    </row>
    <row r="100" spans="1:36" ht="12.75">
      <c r="A100" s="6">
        <f t="shared" si="34"/>
        <v>90</v>
      </c>
      <c r="B100" s="6">
        <f t="shared" si="35"/>
        <v>41</v>
      </c>
      <c r="C100" s="3" t="s">
        <v>50</v>
      </c>
      <c r="D100" s="80">
        <v>1280.6</v>
      </c>
      <c r="E100" s="7">
        <f t="shared" si="19"/>
        <v>3.6</v>
      </c>
      <c r="F100" s="7">
        <f t="shared" si="17"/>
        <v>3.6</v>
      </c>
      <c r="G100" s="69">
        <f t="shared" si="18"/>
        <v>55321.92</v>
      </c>
      <c r="H100" s="6">
        <v>0.35</v>
      </c>
      <c r="I100" s="69">
        <f t="shared" si="23"/>
        <v>5378.519999999999</v>
      </c>
      <c r="J100" s="6">
        <v>0.35</v>
      </c>
      <c r="K100" s="69">
        <f t="shared" si="24"/>
        <v>5378.519999999999</v>
      </c>
      <c r="L100" s="6">
        <v>0.45</v>
      </c>
      <c r="M100" s="69">
        <f t="shared" si="25"/>
        <v>6915.24</v>
      </c>
      <c r="N100" s="6">
        <v>0.14</v>
      </c>
      <c r="O100" s="69">
        <f t="shared" si="26"/>
        <v>2151.408</v>
      </c>
      <c r="P100" s="6">
        <v>0.25</v>
      </c>
      <c r="Q100" s="69">
        <f t="shared" si="27"/>
        <v>3841.7999999999997</v>
      </c>
      <c r="R100" s="7">
        <v>0.36</v>
      </c>
      <c r="S100" s="69">
        <f t="shared" si="28"/>
        <v>5532.191999999999</v>
      </c>
      <c r="T100" s="7">
        <v>0.31</v>
      </c>
      <c r="U100" s="69">
        <f t="shared" si="29"/>
        <v>4763.832</v>
      </c>
      <c r="V100" s="6">
        <f t="shared" si="36"/>
        <v>41</v>
      </c>
      <c r="W100" s="3" t="s">
        <v>50</v>
      </c>
      <c r="X100" s="80">
        <v>1280.6</v>
      </c>
      <c r="Y100" s="6">
        <f>0.1+0.15+0.11+0.1</f>
        <v>0.45999999999999996</v>
      </c>
      <c r="Z100" s="69">
        <f t="shared" si="30"/>
        <v>7068.911999999998</v>
      </c>
      <c r="AA100" s="21">
        <f>0.1+0.2+0.12</f>
        <v>0.42000000000000004</v>
      </c>
      <c r="AB100" s="69">
        <f t="shared" si="31"/>
        <v>6454.224</v>
      </c>
      <c r="AC100" s="7">
        <v>0.2</v>
      </c>
      <c r="AD100" s="69">
        <f t="shared" si="32"/>
        <v>3073.44</v>
      </c>
      <c r="AE100" s="6">
        <v>0.31</v>
      </c>
      <c r="AF100" s="69">
        <f t="shared" si="33"/>
        <v>4763.832</v>
      </c>
      <c r="AG100" s="2"/>
      <c r="AH100" s="17"/>
      <c r="AI100" s="2"/>
      <c r="AJ100" s="2"/>
    </row>
    <row r="101" spans="1:36" ht="12.75">
      <c r="A101" s="6">
        <f t="shared" si="34"/>
        <v>91</v>
      </c>
      <c r="B101" s="6">
        <f t="shared" si="35"/>
        <v>42</v>
      </c>
      <c r="C101" s="3" t="s">
        <v>51</v>
      </c>
      <c r="D101" s="80">
        <v>1270.8</v>
      </c>
      <c r="E101" s="7">
        <f t="shared" si="19"/>
        <v>3.6000000000000005</v>
      </c>
      <c r="F101" s="7">
        <f t="shared" si="17"/>
        <v>3.6</v>
      </c>
      <c r="G101" s="69">
        <f t="shared" si="18"/>
        <v>54898.56</v>
      </c>
      <c r="H101" s="6">
        <v>0.35</v>
      </c>
      <c r="I101" s="69">
        <f t="shared" si="23"/>
        <v>5337.36</v>
      </c>
      <c r="J101" s="6">
        <v>0.35</v>
      </c>
      <c r="K101" s="69">
        <f t="shared" si="24"/>
        <v>5337.36</v>
      </c>
      <c r="L101" s="6">
        <v>0.45</v>
      </c>
      <c r="M101" s="69">
        <f t="shared" si="25"/>
        <v>6862.32</v>
      </c>
      <c r="N101" s="6">
        <v>0.15</v>
      </c>
      <c r="O101" s="69">
        <f t="shared" si="26"/>
        <v>2287.4399999999996</v>
      </c>
      <c r="P101" s="6">
        <v>0.22</v>
      </c>
      <c r="Q101" s="69">
        <f t="shared" si="27"/>
        <v>3354.9119999999994</v>
      </c>
      <c r="R101" s="7">
        <v>0.36</v>
      </c>
      <c r="S101" s="69">
        <f t="shared" si="28"/>
        <v>5489.856</v>
      </c>
      <c r="T101" s="7">
        <v>0.31</v>
      </c>
      <c r="U101" s="69">
        <f t="shared" si="29"/>
        <v>4727.376</v>
      </c>
      <c r="V101" s="6">
        <f t="shared" si="36"/>
        <v>42</v>
      </c>
      <c r="W101" s="3" t="s">
        <v>51</v>
      </c>
      <c r="X101" s="80">
        <v>1270.8</v>
      </c>
      <c r="Y101" s="6">
        <f>0.15+0.14+0.1+0.12</f>
        <v>0.51</v>
      </c>
      <c r="Z101" s="69">
        <f t="shared" si="30"/>
        <v>7777.295999999999</v>
      </c>
      <c r="AA101" s="21">
        <f>0.09+0.2+0.1</f>
        <v>0.39</v>
      </c>
      <c r="AB101" s="69">
        <f t="shared" si="31"/>
        <v>5947.344</v>
      </c>
      <c r="AC101" s="7">
        <v>0.2</v>
      </c>
      <c r="AD101" s="69">
        <f t="shared" si="32"/>
        <v>3049.92</v>
      </c>
      <c r="AE101" s="6">
        <v>0.31</v>
      </c>
      <c r="AF101" s="69">
        <f t="shared" si="33"/>
        <v>4727.376</v>
      </c>
      <c r="AG101" s="2"/>
      <c r="AH101" s="17"/>
      <c r="AI101" s="2"/>
      <c r="AJ101" s="2"/>
    </row>
    <row r="102" spans="1:36" s="22" customFormat="1" ht="12">
      <c r="A102" s="6">
        <f t="shared" si="34"/>
        <v>92</v>
      </c>
      <c r="B102" s="6">
        <f t="shared" si="35"/>
        <v>43</v>
      </c>
      <c r="C102" s="3" t="s">
        <v>102</v>
      </c>
      <c r="D102" s="80">
        <v>963.8</v>
      </c>
      <c r="E102" s="7">
        <f>H102+J102+L102+N102+P102+R102+T102+Y102+AA102+AC102+AE102</f>
        <v>4.010000000000001</v>
      </c>
      <c r="F102" s="7">
        <f t="shared" si="17"/>
        <v>4.01</v>
      </c>
      <c r="G102" s="69">
        <f t="shared" si="18"/>
        <v>46378.056</v>
      </c>
      <c r="H102" s="2">
        <v>0.55</v>
      </c>
      <c r="I102" s="69">
        <f t="shared" si="23"/>
        <v>6361.08</v>
      </c>
      <c r="J102" s="2">
        <v>0.31</v>
      </c>
      <c r="K102" s="69">
        <f t="shared" si="24"/>
        <v>3585.3359999999993</v>
      </c>
      <c r="L102" s="2">
        <v>0.54</v>
      </c>
      <c r="M102" s="69">
        <f t="shared" si="25"/>
        <v>6245.424</v>
      </c>
      <c r="N102" s="2">
        <v>0.1</v>
      </c>
      <c r="O102" s="69">
        <f t="shared" si="26"/>
        <v>1156.56</v>
      </c>
      <c r="P102" s="2">
        <v>0.2</v>
      </c>
      <c r="Q102" s="69">
        <f t="shared" si="27"/>
        <v>2313.12</v>
      </c>
      <c r="R102" s="7">
        <v>0.36</v>
      </c>
      <c r="S102" s="69">
        <f t="shared" si="28"/>
        <v>4163.616</v>
      </c>
      <c r="T102" s="21">
        <v>0.2</v>
      </c>
      <c r="U102" s="69">
        <f t="shared" si="29"/>
        <v>2313.12</v>
      </c>
      <c r="V102" s="6">
        <f t="shared" si="36"/>
        <v>43</v>
      </c>
      <c r="W102" s="3" t="s">
        <v>102</v>
      </c>
      <c r="X102" s="80">
        <v>963.8</v>
      </c>
      <c r="Y102" s="2">
        <v>0.6</v>
      </c>
      <c r="Z102" s="69">
        <f t="shared" si="30"/>
        <v>6939.36</v>
      </c>
      <c r="AA102" s="2">
        <v>0.7</v>
      </c>
      <c r="AB102" s="69">
        <f t="shared" si="31"/>
        <v>8095.92</v>
      </c>
      <c r="AC102" s="21">
        <v>0.25</v>
      </c>
      <c r="AD102" s="69">
        <f t="shared" si="32"/>
        <v>2891.3999999999996</v>
      </c>
      <c r="AE102" s="2">
        <v>0.2</v>
      </c>
      <c r="AF102" s="69">
        <f t="shared" si="33"/>
        <v>2313.12</v>
      </c>
      <c r="AG102" s="2"/>
      <c r="AH102" s="17"/>
      <c r="AI102" s="188"/>
      <c r="AJ102" s="2"/>
    </row>
    <row r="103" spans="1:36" ht="12.75">
      <c r="A103" s="6">
        <f t="shared" si="34"/>
        <v>93</v>
      </c>
      <c r="B103" s="6">
        <f t="shared" si="35"/>
        <v>44</v>
      </c>
      <c r="C103" s="3" t="s">
        <v>103</v>
      </c>
      <c r="D103" s="80">
        <v>1506.2</v>
      </c>
      <c r="E103" s="7">
        <f t="shared" si="19"/>
        <v>4.010000000000001</v>
      </c>
      <c r="F103" s="7">
        <f t="shared" si="17"/>
        <v>4.01</v>
      </c>
      <c r="G103" s="69">
        <f t="shared" si="18"/>
        <v>72478.344</v>
      </c>
      <c r="H103" s="2">
        <v>0.55</v>
      </c>
      <c r="I103" s="69">
        <f t="shared" si="23"/>
        <v>9940.920000000002</v>
      </c>
      <c r="J103" s="2">
        <v>0.31</v>
      </c>
      <c r="K103" s="69">
        <f t="shared" si="24"/>
        <v>5603.064</v>
      </c>
      <c r="L103" s="2">
        <v>0.54</v>
      </c>
      <c r="M103" s="69">
        <f t="shared" si="25"/>
        <v>9760.176000000001</v>
      </c>
      <c r="N103" s="2">
        <v>0.1</v>
      </c>
      <c r="O103" s="69">
        <f t="shared" si="26"/>
        <v>1807.44</v>
      </c>
      <c r="P103" s="2">
        <v>0.2</v>
      </c>
      <c r="Q103" s="69">
        <f t="shared" si="27"/>
        <v>3614.88</v>
      </c>
      <c r="R103" s="7">
        <v>0.36</v>
      </c>
      <c r="S103" s="69">
        <f t="shared" si="28"/>
        <v>6506.784</v>
      </c>
      <c r="T103" s="21">
        <v>0.2</v>
      </c>
      <c r="U103" s="69">
        <f t="shared" si="29"/>
        <v>3614.88</v>
      </c>
      <c r="V103" s="6">
        <f t="shared" si="36"/>
        <v>44</v>
      </c>
      <c r="W103" s="3" t="s">
        <v>103</v>
      </c>
      <c r="X103" s="80">
        <v>1506.2</v>
      </c>
      <c r="Y103" s="2">
        <v>0.6</v>
      </c>
      <c r="Z103" s="69">
        <f t="shared" si="30"/>
        <v>10844.64</v>
      </c>
      <c r="AA103" s="2">
        <v>0.7</v>
      </c>
      <c r="AB103" s="69">
        <f t="shared" si="31"/>
        <v>12652.079999999998</v>
      </c>
      <c r="AC103" s="21">
        <v>0.25</v>
      </c>
      <c r="AD103" s="69">
        <f t="shared" si="32"/>
        <v>4518.6</v>
      </c>
      <c r="AE103" s="2">
        <v>0.2</v>
      </c>
      <c r="AF103" s="69">
        <f t="shared" si="33"/>
        <v>3614.88</v>
      </c>
      <c r="AG103" s="2"/>
      <c r="AH103" s="17"/>
      <c r="AI103" s="188"/>
      <c r="AJ103" s="2"/>
    </row>
    <row r="104" spans="1:36" ht="12.75">
      <c r="A104" s="6">
        <f t="shared" si="34"/>
        <v>94</v>
      </c>
      <c r="B104" s="6">
        <f t="shared" si="35"/>
        <v>45</v>
      </c>
      <c r="C104" s="3" t="s">
        <v>104</v>
      </c>
      <c r="D104" s="80">
        <v>955.8</v>
      </c>
      <c r="E104" s="7">
        <f t="shared" si="19"/>
        <v>3.8100000000000005</v>
      </c>
      <c r="F104" s="7">
        <f t="shared" si="17"/>
        <v>3.81</v>
      </c>
      <c r="G104" s="69">
        <f t="shared" si="18"/>
        <v>43699.176</v>
      </c>
      <c r="H104" s="2">
        <v>0.4</v>
      </c>
      <c r="I104" s="69">
        <f t="shared" si="23"/>
        <v>4587.84</v>
      </c>
      <c r="J104" s="2">
        <v>0.31</v>
      </c>
      <c r="K104" s="69">
        <f t="shared" si="24"/>
        <v>3555.576</v>
      </c>
      <c r="L104" s="2">
        <v>0.44</v>
      </c>
      <c r="M104" s="69">
        <f t="shared" si="25"/>
        <v>5046.624</v>
      </c>
      <c r="N104" s="2">
        <v>0.15</v>
      </c>
      <c r="O104" s="69">
        <f t="shared" si="26"/>
        <v>1720.4399999999996</v>
      </c>
      <c r="P104" s="2">
        <v>0.2</v>
      </c>
      <c r="Q104" s="69">
        <f t="shared" si="27"/>
        <v>2293.92</v>
      </c>
      <c r="R104" s="7">
        <v>0.36</v>
      </c>
      <c r="S104" s="69">
        <f t="shared" si="28"/>
        <v>4129.056</v>
      </c>
      <c r="T104" s="21">
        <v>0.2</v>
      </c>
      <c r="U104" s="69">
        <f t="shared" si="29"/>
        <v>2293.92</v>
      </c>
      <c r="V104" s="6">
        <f t="shared" si="36"/>
        <v>45</v>
      </c>
      <c r="W104" s="3" t="s">
        <v>104</v>
      </c>
      <c r="X104" s="80">
        <v>955.8</v>
      </c>
      <c r="Y104" s="2">
        <v>0.6</v>
      </c>
      <c r="Z104" s="69">
        <f t="shared" si="30"/>
        <v>6881.759999999998</v>
      </c>
      <c r="AA104" s="2">
        <v>0.7</v>
      </c>
      <c r="AB104" s="69">
        <f t="shared" si="31"/>
        <v>8028.719999999999</v>
      </c>
      <c r="AC104" s="21">
        <v>0.25</v>
      </c>
      <c r="AD104" s="69">
        <f t="shared" si="32"/>
        <v>2867.3999999999996</v>
      </c>
      <c r="AE104" s="2">
        <v>0.2</v>
      </c>
      <c r="AF104" s="69">
        <f t="shared" si="33"/>
        <v>2293.92</v>
      </c>
      <c r="AG104" s="2"/>
      <c r="AH104" s="17"/>
      <c r="AI104" s="2"/>
      <c r="AJ104" s="2"/>
    </row>
    <row r="105" spans="1:36" ht="12.75">
      <c r="A105" s="6">
        <f t="shared" si="34"/>
        <v>95</v>
      </c>
      <c r="B105" s="6">
        <f t="shared" si="35"/>
        <v>46</v>
      </c>
      <c r="C105" s="3" t="s">
        <v>105</v>
      </c>
      <c r="D105" s="80">
        <v>978.5</v>
      </c>
      <c r="E105" s="7">
        <f t="shared" si="19"/>
        <v>3.8100000000000005</v>
      </c>
      <c r="F105" s="7">
        <f t="shared" si="17"/>
        <v>3.8100000000000005</v>
      </c>
      <c r="G105" s="69">
        <f t="shared" si="18"/>
        <v>44737.020000000004</v>
      </c>
      <c r="H105" s="2">
        <v>0.4</v>
      </c>
      <c r="I105" s="69">
        <f t="shared" si="23"/>
        <v>4696.8</v>
      </c>
      <c r="J105" s="2">
        <v>0.31</v>
      </c>
      <c r="K105" s="69">
        <f t="shared" si="24"/>
        <v>3640.0199999999995</v>
      </c>
      <c r="L105" s="2">
        <v>0.54</v>
      </c>
      <c r="M105" s="69">
        <f t="shared" si="25"/>
        <v>6340.68</v>
      </c>
      <c r="N105" s="2">
        <v>0.1</v>
      </c>
      <c r="O105" s="69">
        <f t="shared" si="26"/>
        <v>1174.2</v>
      </c>
      <c r="P105" s="2">
        <v>0.15</v>
      </c>
      <c r="Q105" s="69">
        <f t="shared" si="27"/>
        <v>1761.3000000000002</v>
      </c>
      <c r="R105" s="7">
        <v>0.36</v>
      </c>
      <c r="S105" s="69">
        <f t="shared" si="28"/>
        <v>4227.12</v>
      </c>
      <c r="T105" s="21">
        <v>0.2</v>
      </c>
      <c r="U105" s="69">
        <f t="shared" si="29"/>
        <v>2348.4</v>
      </c>
      <c r="V105" s="6">
        <f t="shared" si="36"/>
        <v>46</v>
      </c>
      <c r="W105" s="3" t="s">
        <v>105</v>
      </c>
      <c r="X105" s="80">
        <v>978.5</v>
      </c>
      <c r="Y105" s="2">
        <v>0.6</v>
      </c>
      <c r="Z105" s="69">
        <f t="shared" si="30"/>
        <v>7045.200000000001</v>
      </c>
      <c r="AA105" s="2">
        <v>0.7</v>
      </c>
      <c r="AB105" s="69">
        <f t="shared" si="31"/>
        <v>8219.4</v>
      </c>
      <c r="AC105" s="21">
        <v>0.25</v>
      </c>
      <c r="AD105" s="69">
        <f t="shared" si="32"/>
        <v>2935.5</v>
      </c>
      <c r="AE105" s="2">
        <v>0.2</v>
      </c>
      <c r="AF105" s="69">
        <f t="shared" si="33"/>
        <v>2348.4</v>
      </c>
      <c r="AG105" s="2"/>
      <c r="AH105" s="17"/>
      <c r="AI105" s="2"/>
      <c r="AJ105" s="2"/>
    </row>
    <row r="106" spans="1:36" ht="12.75">
      <c r="A106" s="6">
        <f t="shared" si="34"/>
        <v>96</v>
      </c>
      <c r="B106" s="6">
        <f t="shared" si="35"/>
        <v>47</v>
      </c>
      <c r="C106" s="3" t="s">
        <v>106</v>
      </c>
      <c r="D106" s="168">
        <v>1251</v>
      </c>
      <c r="E106" s="7">
        <f t="shared" si="19"/>
        <v>4.010000000000001</v>
      </c>
      <c r="F106" s="7">
        <f t="shared" si="17"/>
        <v>4.010000000000001</v>
      </c>
      <c r="G106" s="69">
        <f t="shared" si="18"/>
        <v>60198.12000000001</v>
      </c>
      <c r="H106" s="2">
        <v>0.4</v>
      </c>
      <c r="I106" s="69">
        <f t="shared" si="23"/>
        <v>6004.8</v>
      </c>
      <c r="J106" s="2">
        <v>0.31</v>
      </c>
      <c r="K106" s="69">
        <f t="shared" si="24"/>
        <v>4653.72</v>
      </c>
      <c r="L106" s="2">
        <v>0.54</v>
      </c>
      <c r="M106" s="69">
        <f t="shared" si="25"/>
        <v>8106.480000000001</v>
      </c>
      <c r="N106" s="2">
        <v>0.15</v>
      </c>
      <c r="O106" s="69">
        <f t="shared" si="26"/>
        <v>2251.8</v>
      </c>
      <c r="P106" s="2">
        <v>0.3</v>
      </c>
      <c r="Q106" s="69">
        <f t="shared" si="27"/>
        <v>4503.6</v>
      </c>
      <c r="R106" s="7">
        <v>0.36</v>
      </c>
      <c r="S106" s="69">
        <f t="shared" si="28"/>
        <v>5404.32</v>
      </c>
      <c r="T106" s="21">
        <v>0.2</v>
      </c>
      <c r="U106" s="69">
        <f t="shared" si="29"/>
        <v>3002.4</v>
      </c>
      <c r="V106" s="6">
        <f t="shared" si="36"/>
        <v>47</v>
      </c>
      <c r="W106" s="3" t="s">
        <v>106</v>
      </c>
      <c r="X106" s="168">
        <v>1251</v>
      </c>
      <c r="Y106" s="2">
        <v>0.6</v>
      </c>
      <c r="Z106" s="69">
        <f t="shared" si="30"/>
        <v>9007.2</v>
      </c>
      <c r="AA106" s="2">
        <v>0.7</v>
      </c>
      <c r="AB106" s="69">
        <f t="shared" si="31"/>
        <v>10508.4</v>
      </c>
      <c r="AC106" s="21">
        <v>0.25</v>
      </c>
      <c r="AD106" s="69">
        <f t="shared" si="32"/>
        <v>3753</v>
      </c>
      <c r="AE106" s="2">
        <v>0.2</v>
      </c>
      <c r="AF106" s="69">
        <f t="shared" si="33"/>
        <v>3002.4</v>
      </c>
      <c r="AG106" s="2"/>
      <c r="AH106" s="17"/>
      <c r="AI106" s="2"/>
      <c r="AJ106" s="2"/>
    </row>
    <row r="107" spans="1:36" ht="12.75">
      <c r="A107" s="6">
        <f t="shared" si="34"/>
        <v>97</v>
      </c>
      <c r="B107" s="6">
        <f t="shared" si="35"/>
        <v>48</v>
      </c>
      <c r="C107" s="3" t="s">
        <v>107</v>
      </c>
      <c r="D107" s="168">
        <v>2567</v>
      </c>
      <c r="E107" s="7">
        <f t="shared" si="19"/>
        <v>4.010000000000001</v>
      </c>
      <c r="F107" s="7">
        <f t="shared" si="17"/>
        <v>4.010000000000001</v>
      </c>
      <c r="G107" s="69">
        <f t="shared" si="18"/>
        <v>123524.04000000001</v>
      </c>
      <c r="H107" s="2">
        <v>0.4</v>
      </c>
      <c r="I107" s="69">
        <f t="shared" si="23"/>
        <v>12321.599999999999</v>
      </c>
      <c r="J107" s="2">
        <v>0.31</v>
      </c>
      <c r="K107" s="69">
        <f t="shared" si="24"/>
        <v>9549.24</v>
      </c>
      <c r="L107" s="2">
        <v>0.54</v>
      </c>
      <c r="M107" s="69">
        <f t="shared" si="25"/>
        <v>16634.16</v>
      </c>
      <c r="N107" s="2">
        <v>0.15</v>
      </c>
      <c r="O107" s="69">
        <f t="shared" si="26"/>
        <v>4620.6</v>
      </c>
      <c r="P107" s="2">
        <v>0.3</v>
      </c>
      <c r="Q107" s="69">
        <f t="shared" si="27"/>
        <v>9241.2</v>
      </c>
      <c r="R107" s="7">
        <v>0.36</v>
      </c>
      <c r="S107" s="69">
        <f t="shared" si="28"/>
        <v>11089.44</v>
      </c>
      <c r="T107" s="21">
        <v>0.2</v>
      </c>
      <c r="U107" s="69">
        <f t="shared" si="29"/>
        <v>6160.799999999999</v>
      </c>
      <c r="V107" s="6">
        <f t="shared" si="36"/>
        <v>48</v>
      </c>
      <c r="W107" s="3" t="s">
        <v>107</v>
      </c>
      <c r="X107" s="168">
        <v>2567</v>
      </c>
      <c r="Y107" s="2">
        <v>0.6</v>
      </c>
      <c r="Z107" s="69">
        <f t="shared" si="30"/>
        <v>18482.4</v>
      </c>
      <c r="AA107" s="2">
        <v>0.7</v>
      </c>
      <c r="AB107" s="69">
        <f t="shared" si="31"/>
        <v>21562.8</v>
      </c>
      <c r="AC107" s="21">
        <v>0.25</v>
      </c>
      <c r="AD107" s="69">
        <f t="shared" si="32"/>
        <v>7701</v>
      </c>
      <c r="AE107" s="2">
        <v>0.2</v>
      </c>
      <c r="AF107" s="69">
        <f t="shared" si="33"/>
        <v>6160.799999999999</v>
      </c>
      <c r="AG107" s="2"/>
      <c r="AH107" s="17"/>
      <c r="AI107" s="2"/>
      <c r="AJ107" s="2"/>
    </row>
    <row r="108" spans="1:36" ht="12.75">
      <c r="A108" s="6">
        <f t="shared" si="34"/>
        <v>98</v>
      </c>
      <c r="B108" s="6">
        <f t="shared" si="35"/>
        <v>49</v>
      </c>
      <c r="C108" s="3" t="s">
        <v>108</v>
      </c>
      <c r="D108" s="80">
        <v>2489.2</v>
      </c>
      <c r="E108" s="7">
        <f t="shared" si="19"/>
        <v>4.010000000000001</v>
      </c>
      <c r="F108" s="7">
        <f t="shared" si="17"/>
        <v>4.01</v>
      </c>
      <c r="G108" s="69">
        <f t="shared" si="18"/>
        <v>119780.30399999999</v>
      </c>
      <c r="H108" s="2">
        <v>0.4</v>
      </c>
      <c r="I108" s="69">
        <f t="shared" si="23"/>
        <v>11948.16</v>
      </c>
      <c r="J108" s="2">
        <v>0.31</v>
      </c>
      <c r="K108" s="69">
        <f t="shared" si="24"/>
        <v>9259.823999999999</v>
      </c>
      <c r="L108" s="2">
        <v>0.54</v>
      </c>
      <c r="M108" s="69">
        <f t="shared" si="25"/>
        <v>16130.016</v>
      </c>
      <c r="N108" s="2">
        <v>0.15</v>
      </c>
      <c r="O108" s="69">
        <f t="shared" si="26"/>
        <v>4480.5599999999995</v>
      </c>
      <c r="P108" s="2">
        <v>0.3</v>
      </c>
      <c r="Q108" s="69">
        <f t="shared" si="27"/>
        <v>8961.119999999999</v>
      </c>
      <c r="R108" s="7">
        <v>0.36</v>
      </c>
      <c r="S108" s="69">
        <f t="shared" si="28"/>
        <v>10753.343999999997</v>
      </c>
      <c r="T108" s="21">
        <v>0.2</v>
      </c>
      <c r="U108" s="69">
        <f t="shared" si="29"/>
        <v>5974.08</v>
      </c>
      <c r="V108" s="6">
        <f t="shared" si="36"/>
        <v>49</v>
      </c>
      <c r="W108" s="3" t="s">
        <v>108</v>
      </c>
      <c r="X108" s="80">
        <v>2489.2</v>
      </c>
      <c r="Y108" s="2">
        <v>0.6</v>
      </c>
      <c r="Z108" s="69">
        <f t="shared" si="30"/>
        <v>17922.239999999998</v>
      </c>
      <c r="AA108" s="2">
        <v>0.7</v>
      </c>
      <c r="AB108" s="69">
        <f t="shared" si="31"/>
        <v>20909.28</v>
      </c>
      <c r="AC108" s="21">
        <v>0.25</v>
      </c>
      <c r="AD108" s="69">
        <f t="shared" si="32"/>
        <v>7467.599999999999</v>
      </c>
      <c r="AE108" s="2">
        <v>0.2</v>
      </c>
      <c r="AF108" s="69">
        <f t="shared" si="33"/>
        <v>5974.08</v>
      </c>
      <c r="AG108" s="2"/>
      <c r="AH108" s="17"/>
      <c r="AI108" s="2"/>
      <c r="AJ108" s="2"/>
    </row>
    <row r="109" spans="1:36" ht="12.75">
      <c r="A109" s="6">
        <f t="shared" si="34"/>
        <v>99</v>
      </c>
      <c r="B109" s="6">
        <f t="shared" si="35"/>
        <v>50</v>
      </c>
      <c r="C109" s="3" t="s">
        <v>207</v>
      </c>
      <c r="D109" s="80">
        <v>1739.6</v>
      </c>
      <c r="E109" s="7">
        <f t="shared" si="19"/>
        <v>4.03</v>
      </c>
      <c r="F109" s="7">
        <f t="shared" si="17"/>
        <v>4.03</v>
      </c>
      <c r="G109" s="69">
        <f t="shared" si="18"/>
        <v>84127.056</v>
      </c>
      <c r="H109" s="2">
        <v>0.45</v>
      </c>
      <c r="I109" s="69">
        <f t="shared" si="23"/>
        <v>9393.84</v>
      </c>
      <c r="J109" s="2">
        <v>0.32</v>
      </c>
      <c r="K109" s="69">
        <f t="shared" si="24"/>
        <v>6680.064</v>
      </c>
      <c r="L109" s="2">
        <v>0.54</v>
      </c>
      <c r="M109" s="69">
        <f t="shared" si="25"/>
        <v>11272.608</v>
      </c>
      <c r="N109" s="6">
        <v>0.21</v>
      </c>
      <c r="O109" s="69">
        <f t="shared" si="26"/>
        <v>4383.7919999999995</v>
      </c>
      <c r="P109" s="2">
        <v>0.2</v>
      </c>
      <c r="Q109" s="69">
        <f t="shared" si="27"/>
        <v>4175.04</v>
      </c>
      <c r="R109" s="7">
        <v>0.36</v>
      </c>
      <c r="S109" s="69">
        <f t="shared" si="28"/>
        <v>7515.072</v>
      </c>
      <c r="T109" s="21">
        <v>0.2</v>
      </c>
      <c r="U109" s="69">
        <f t="shared" si="29"/>
        <v>4175.04</v>
      </c>
      <c r="V109" s="6">
        <f t="shared" si="36"/>
        <v>50</v>
      </c>
      <c r="W109" s="3" t="s">
        <v>207</v>
      </c>
      <c r="X109" s="80">
        <v>1739.6</v>
      </c>
      <c r="Y109" s="2">
        <v>0.6</v>
      </c>
      <c r="Z109" s="69">
        <f t="shared" si="30"/>
        <v>12525.119999999999</v>
      </c>
      <c r="AA109" s="2">
        <v>0.7</v>
      </c>
      <c r="AB109" s="69">
        <f t="shared" si="31"/>
        <v>14612.639999999998</v>
      </c>
      <c r="AC109" s="21">
        <v>0.25</v>
      </c>
      <c r="AD109" s="69">
        <f t="shared" si="32"/>
        <v>5218.799999999999</v>
      </c>
      <c r="AE109" s="2">
        <v>0.2</v>
      </c>
      <c r="AF109" s="69">
        <f t="shared" si="33"/>
        <v>4175.04</v>
      </c>
      <c r="AG109" s="2"/>
      <c r="AH109" s="17"/>
      <c r="AI109" s="188"/>
      <c r="AJ109" s="2"/>
    </row>
    <row r="110" spans="1:36" ht="12.75">
      <c r="A110" s="6">
        <f t="shared" si="34"/>
        <v>100</v>
      </c>
      <c r="B110" s="6">
        <f t="shared" si="35"/>
        <v>51</v>
      </c>
      <c r="C110" s="3" t="s">
        <v>52</v>
      </c>
      <c r="D110" s="80">
        <v>4502.7</v>
      </c>
      <c r="E110" s="7">
        <f t="shared" si="19"/>
        <v>3.1</v>
      </c>
      <c r="F110" s="7">
        <f t="shared" si="17"/>
        <v>3.1</v>
      </c>
      <c r="G110" s="69">
        <f t="shared" si="18"/>
        <v>167500.44</v>
      </c>
      <c r="H110" s="6">
        <v>0.3</v>
      </c>
      <c r="I110" s="69">
        <f t="shared" si="23"/>
        <v>16209.72</v>
      </c>
      <c r="J110" s="6">
        <v>0.3</v>
      </c>
      <c r="K110" s="69">
        <f t="shared" si="24"/>
        <v>16209.72</v>
      </c>
      <c r="L110" s="6">
        <v>0.4</v>
      </c>
      <c r="M110" s="69">
        <f t="shared" si="25"/>
        <v>21612.96</v>
      </c>
      <c r="N110" s="6">
        <v>0.12</v>
      </c>
      <c r="O110" s="69">
        <f t="shared" si="26"/>
        <v>6483.887999999999</v>
      </c>
      <c r="P110" s="6">
        <v>0.2</v>
      </c>
      <c r="Q110" s="69">
        <f t="shared" si="27"/>
        <v>10806.48</v>
      </c>
      <c r="R110" s="7">
        <v>0.36</v>
      </c>
      <c r="S110" s="69">
        <f t="shared" si="28"/>
        <v>19451.664</v>
      </c>
      <c r="T110" s="7">
        <v>0.11</v>
      </c>
      <c r="U110" s="69">
        <f t="shared" si="29"/>
        <v>5943.563999999999</v>
      </c>
      <c r="V110" s="6">
        <f t="shared" si="36"/>
        <v>51</v>
      </c>
      <c r="W110" s="3" t="s">
        <v>52</v>
      </c>
      <c r="X110" s="80">
        <v>4502.7</v>
      </c>
      <c r="Y110" s="6">
        <f>0.2+0.12+0.25+0.11</f>
        <v>0.68</v>
      </c>
      <c r="Z110" s="69">
        <f t="shared" si="30"/>
        <v>36742.03200000001</v>
      </c>
      <c r="AA110" s="21">
        <f>0.1+0.2+0.1</f>
        <v>0.4</v>
      </c>
      <c r="AB110" s="69">
        <f t="shared" si="31"/>
        <v>21612.96</v>
      </c>
      <c r="AC110" s="7">
        <v>0.12</v>
      </c>
      <c r="AD110" s="69">
        <f t="shared" si="32"/>
        <v>6483.887999999999</v>
      </c>
      <c r="AE110" s="6">
        <v>0.11</v>
      </c>
      <c r="AF110" s="69">
        <f t="shared" si="33"/>
        <v>5943.563999999999</v>
      </c>
      <c r="AG110" s="2"/>
      <c r="AH110" s="17"/>
      <c r="AI110" s="2"/>
      <c r="AJ110" s="2"/>
    </row>
    <row r="111" spans="1:36" ht="12.75">
      <c r="A111" s="6">
        <f t="shared" si="34"/>
        <v>101</v>
      </c>
      <c r="B111" s="6">
        <f t="shared" si="35"/>
        <v>52</v>
      </c>
      <c r="C111" s="3" t="s">
        <v>53</v>
      </c>
      <c r="D111" s="80">
        <v>3357.6</v>
      </c>
      <c r="E111" s="7">
        <f t="shared" si="19"/>
        <v>3.68</v>
      </c>
      <c r="F111" s="7">
        <f t="shared" si="17"/>
        <v>3.68</v>
      </c>
      <c r="G111" s="69">
        <f t="shared" si="18"/>
        <v>148271.616</v>
      </c>
      <c r="H111" s="6">
        <v>0.3</v>
      </c>
      <c r="I111" s="69">
        <f t="shared" si="23"/>
        <v>12087.36</v>
      </c>
      <c r="J111" s="6">
        <v>0.3</v>
      </c>
      <c r="K111" s="69">
        <f t="shared" si="24"/>
        <v>12087.36</v>
      </c>
      <c r="L111" s="6">
        <v>0.45</v>
      </c>
      <c r="M111" s="69">
        <f t="shared" si="25"/>
        <v>18131.04</v>
      </c>
      <c r="N111" s="6">
        <v>0.11</v>
      </c>
      <c r="O111" s="69">
        <f t="shared" si="26"/>
        <v>4432.032</v>
      </c>
      <c r="P111" s="6">
        <v>0.2</v>
      </c>
      <c r="Q111" s="69">
        <f t="shared" si="27"/>
        <v>8058.24</v>
      </c>
      <c r="R111" s="7">
        <v>0.36</v>
      </c>
      <c r="S111" s="69">
        <f t="shared" si="28"/>
        <v>14504.831999999999</v>
      </c>
      <c r="T111" s="7">
        <v>0.11</v>
      </c>
      <c r="U111" s="69">
        <f t="shared" si="29"/>
        <v>4432.032</v>
      </c>
      <c r="V111" s="6">
        <f t="shared" si="36"/>
        <v>52</v>
      </c>
      <c r="W111" s="3" t="s">
        <v>53</v>
      </c>
      <c r="X111" s="80">
        <v>3357.6</v>
      </c>
      <c r="Y111" s="6">
        <f>0.12+0.12+0.12+0.14</f>
        <v>0.5</v>
      </c>
      <c r="Z111" s="69">
        <f t="shared" si="30"/>
        <v>20145.6</v>
      </c>
      <c r="AA111" s="21">
        <f>0.8+0.22+0.12</f>
        <v>1.1400000000000001</v>
      </c>
      <c r="AB111" s="69">
        <f t="shared" si="31"/>
        <v>45931.968</v>
      </c>
      <c r="AC111" s="7">
        <v>0.1</v>
      </c>
      <c r="AD111" s="69">
        <f t="shared" si="32"/>
        <v>4029.12</v>
      </c>
      <c r="AE111" s="6">
        <v>0.11</v>
      </c>
      <c r="AF111" s="69">
        <f t="shared" si="33"/>
        <v>4432.032</v>
      </c>
      <c r="AG111" s="2"/>
      <c r="AH111" s="17"/>
      <c r="AI111" s="2"/>
      <c r="AJ111" s="2"/>
    </row>
    <row r="112" spans="1:36" ht="12.75">
      <c r="A112" s="6">
        <f t="shared" si="34"/>
        <v>102</v>
      </c>
      <c r="B112" s="6">
        <f t="shared" si="35"/>
        <v>53</v>
      </c>
      <c r="C112" s="3" t="s">
        <v>54</v>
      </c>
      <c r="D112" s="80">
        <v>3319.6</v>
      </c>
      <c r="E112" s="7">
        <f t="shared" si="19"/>
        <v>3.1</v>
      </c>
      <c r="F112" s="7">
        <f t="shared" si="17"/>
        <v>3.100000000000001</v>
      </c>
      <c r="G112" s="69">
        <f t="shared" si="18"/>
        <v>123489.12000000002</v>
      </c>
      <c r="H112" s="6">
        <v>0.3</v>
      </c>
      <c r="I112" s="69">
        <f t="shared" si="23"/>
        <v>11950.559999999998</v>
      </c>
      <c r="J112" s="6">
        <v>0.3</v>
      </c>
      <c r="K112" s="69">
        <f t="shared" si="24"/>
        <v>11950.559999999998</v>
      </c>
      <c r="L112" s="6">
        <v>0.4</v>
      </c>
      <c r="M112" s="69">
        <f t="shared" si="25"/>
        <v>15934.080000000002</v>
      </c>
      <c r="N112" s="6">
        <v>0.12</v>
      </c>
      <c r="O112" s="69">
        <f t="shared" si="26"/>
        <v>4780.224</v>
      </c>
      <c r="P112" s="6">
        <v>0.25</v>
      </c>
      <c r="Q112" s="69">
        <f t="shared" si="27"/>
        <v>9958.8</v>
      </c>
      <c r="R112" s="7">
        <v>0.36</v>
      </c>
      <c r="S112" s="69">
        <f t="shared" si="28"/>
        <v>14340.671999999999</v>
      </c>
      <c r="T112" s="7">
        <v>0.11</v>
      </c>
      <c r="U112" s="69">
        <f t="shared" si="29"/>
        <v>4381.872</v>
      </c>
      <c r="V112" s="6">
        <f t="shared" si="36"/>
        <v>53</v>
      </c>
      <c r="W112" s="3" t="s">
        <v>54</v>
      </c>
      <c r="X112" s="80">
        <v>3319.6</v>
      </c>
      <c r="Y112" s="6">
        <v>0.63</v>
      </c>
      <c r="Z112" s="69">
        <f t="shared" si="30"/>
        <v>25096.176</v>
      </c>
      <c r="AA112" s="21">
        <f>0.1+0.2+0.1</f>
        <v>0.4</v>
      </c>
      <c r="AB112" s="69">
        <f t="shared" si="31"/>
        <v>15934.080000000002</v>
      </c>
      <c r="AC112" s="7">
        <v>0.12</v>
      </c>
      <c r="AD112" s="69">
        <f t="shared" si="32"/>
        <v>4780.224</v>
      </c>
      <c r="AE112" s="6">
        <v>0.11</v>
      </c>
      <c r="AF112" s="69">
        <f t="shared" si="33"/>
        <v>4381.872</v>
      </c>
      <c r="AG112" s="2"/>
      <c r="AH112" s="17"/>
      <c r="AI112" s="2"/>
      <c r="AJ112" s="2"/>
    </row>
    <row r="113" spans="1:36" ht="12.75">
      <c r="A113" s="6">
        <f t="shared" si="34"/>
        <v>103</v>
      </c>
      <c r="B113" s="6">
        <f t="shared" si="35"/>
        <v>54</v>
      </c>
      <c r="C113" s="3" t="s">
        <v>55</v>
      </c>
      <c r="D113" s="170">
        <v>4489</v>
      </c>
      <c r="E113" s="7">
        <f t="shared" si="19"/>
        <v>3.5999999999999996</v>
      </c>
      <c r="F113" s="7">
        <f t="shared" si="17"/>
        <v>3.6</v>
      </c>
      <c r="G113" s="69">
        <f t="shared" si="18"/>
        <v>193924.80000000002</v>
      </c>
      <c r="H113" s="6">
        <v>0.35</v>
      </c>
      <c r="I113" s="69">
        <f t="shared" si="23"/>
        <v>18853.8</v>
      </c>
      <c r="J113" s="6">
        <v>0.35</v>
      </c>
      <c r="K113" s="69">
        <f t="shared" si="24"/>
        <v>18853.8</v>
      </c>
      <c r="L113" s="6">
        <v>0.45</v>
      </c>
      <c r="M113" s="69">
        <f t="shared" si="25"/>
        <v>24240.6</v>
      </c>
      <c r="N113" s="6">
        <v>0.12</v>
      </c>
      <c r="O113" s="69">
        <f t="shared" si="26"/>
        <v>6464.16</v>
      </c>
      <c r="P113" s="6">
        <v>0.25</v>
      </c>
      <c r="Q113" s="69">
        <f t="shared" si="27"/>
        <v>13467</v>
      </c>
      <c r="R113" s="7">
        <v>0.36</v>
      </c>
      <c r="S113" s="69">
        <f t="shared" si="28"/>
        <v>19392.48</v>
      </c>
      <c r="T113" s="7">
        <v>0.11</v>
      </c>
      <c r="U113" s="69">
        <f t="shared" si="29"/>
        <v>5925.4800000000005</v>
      </c>
      <c r="V113" s="6">
        <f t="shared" si="36"/>
        <v>54</v>
      </c>
      <c r="W113" s="3" t="s">
        <v>55</v>
      </c>
      <c r="X113" s="170">
        <v>4489</v>
      </c>
      <c r="Y113" s="6">
        <f>0.25+0.15+0.25+0.29</f>
        <v>0.94</v>
      </c>
      <c r="Z113" s="69">
        <f t="shared" si="30"/>
        <v>50635.92</v>
      </c>
      <c r="AA113" s="21">
        <f>0.1+0.22+0.12</f>
        <v>0.44</v>
      </c>
      <c r="AB113" s="69">
        <f t="shared" si="31"/>
        <v>23701.920000000002</v>
      </c>
      <c r="AC113" s="7">
        <v>0.12</v>
      </c>
      <c r="AD113" s="69">
        <f t="shared" si="32"/>
        <v>6464.16</v>
      </c>
      <c r="AE113" s="6">
        <v>0.11</v>
      </c>
      <c r="AF113" s="69">
        <f t="shared" si="33"/>
        <v>5925.4800000000005</v>
      </c>
      <c r="AG113" s="2"/>
      <c r="AH113" s="17"/>
      <c r="AI113" s="2"/>
      <c r="AJ113" s="2"/>
    </row>
    <row r="114" spans="1:36" ht="12.75">
      <c r="A114" s="6">
        <f t="shared" si="34"/>
        <v>104</v>
      </c>
      <c r="B114" s="6">
        <f t="shared" si="35"/>
        <v>55</v>
      </c>
      <c r="C114" s="3" t="s">
        <v>56</v>
      </c>
      <c r="D114" s="43">
        <v>2236.7</v>
      </c>
      <c r="E114" s="7">
        <f t="shared" si="19"/>
        <v>3.2</v>
      </c>
      <c r="F114" s="7">
        <f t="shared" si="17"/>
        <v>3.1999999999999997</v>
      </c>
      <c r="G114" s="69">
        <f t="shared" si="18"/>
        <v>85889.27999999998</v>
      </c>
      <c r="H114" s="6">
        <v>0.3</v>
      </c>
      <c r="I114" s="69">
        <f t="shared" si="23"/>
        <v>8052.119999999999</v>
      </c>
      <c r="J114" s="6">
        <v>0.3</v>
      </c>
      <c r="K114" s="69">
        <f t="shared" si="24"/>
        <v>8052.119999999999</v>
      </c>
      <c r="L114" s="6">
        <v>0.4</v>
      </c>
      <c r="M114" s="69">
        <f t="shared" si="25"/>
        <v>10736.16</v>
      </c>
      <c r="N114" s="6">
        <v>0.12</v>
      </c>
      <c r="O114" s="69">
        <f t="shared" si="26"/>
        <v>3220.848</v>
      </c>
      <c r="P114" s="6">
        <v>0.22</v>
      </c>
      <c r="Q114" s="69">
        <f t="shared" si="27"/>
        <v>5904.887999999999</v>
      </c>
      <c r="R114" s="7">
        <v>0.36</v>
      </c>
      <c r="S114" s="69">
        <f t="shared" si="28"/>
        <v>9662.543999999998</v>
      </c>
      <c r="T114" s="7">
        <v>0.1</v>
      </c>
      <c r="U114" s="69">
        <f t="shared" si="29"/>
        <v>2684.04</v>
      </c>
      <c r="V114" s="6">
        <f t="shared" si="36"/>
        <v>55</v>
      </c>
      <c r="W114" s="3" t="s">
        <v>56</v>
      </c>
      <c r="X114" s="43">
        <v>2236.7</v>
      </c>
      <c r="Y114" s="6">
        <f>0.3+0.15+0.27+0.06</f>
        <v>0.78</v>
      </c>
      <c r="Z114" s="69">
        <f t="shared" si="30"/>
        <v>20935.512</v>
      </c>
      <c r="AA114" s="21">
        <f>0.4</f>
        <v>0.4</v>
      </c>
      <c r="AB114" s="69">
        <f t="shared" si="31"/>
        <v>10736.16</v>
      </c>
      <c r="AC114" s="7">
        <v>0.12</v>
      </c>
      <c r="AD114" s="69">
        <f t="shared" si="32"/>
        <v>3220.848</v>
      </c>
      <c r="AE114" s="6">
        <v>0.1</v>
      </c>
      <c r="AF114" s="69">
        <f t="shared" si="33"/>
        <v>2684.04</v>
      </c>
      <c r="AG114" s="2"/>
      <c r="AH114" s="17"/>
      <c r="AI114" s="2"/>
      <c r="AJ114" s="2"/>
    </row>
    <row r="115" spans="1:36" ht="12.75">
      <c r="A115" s="6">
        <f t="shared" si="34"/>
        <v>105</v>
      </c>
      <c r="B115" s="6">
        <f t="shared" si="35"/>
        <v>56</v>
      </c>
      <c r="C115" s="3" t="s">
        <v>57</v>
      </c>
      <c r="D115" s="80">
        <v>3307.96</v>
      </c>
      <c r="E115" s="7">
        <f t="shared" si="19"/>
        <v>3.3000000000000003</v>
      </c>
      <c r="F115" s="7">
        <f t="shared" si="17"/>
        <v>3.3000000000000003</v>
      </c>
      <c r="G115" s="69">
        <f t="shared" si="18"/>
        <v>130995.21600000001</v>
      </c>
      <c r="H115" s="6">
        <v>0.3</v>
      </c>
      <c r="I115" s="69">
        <f t="shared" si="23"/>
        <v>11908.655999999999</v>
      </c>
      <c r="J115" s="6">
        <v>0.3</v>
      </c>
      <c r="K115" s="69">
        <f t="shared" si="24"/>
        <v>11908.655999999999</v>
      </c>
      <c r="L115" s="6">
        <v>0.4</v>
      </c>
      <c r="M115" s="69">
        <f t="shared" si="25"/>
        <v>15878.208000000002</v>
      </c>
      <c r="N115" s="6">
        <v>0.12</v>
      </c>
      <c r="O115" s="69">
        <f t="shared" si="26"/>
        <v>4763.4624</v>
      </c>
      <c r="P115" s="6">
        <v>0.25</v>
      </c>
      <c r="Q115" s="69">
        <f t="shared" si="27"/>
        <v>9923.880000000001</v>
      </c>
      <c r="R115" s="7">
        <v>0.36</v>
      </c>
      <c r="S115" s="69">
        <f t="shared" si="28"/>
        <v>14290.387199999997</v>
      </c>
      <c r="T115" s="7">
        <v>0.21</v>
      </c>
      <c r="U115" s="69">
        <f t="shared" si="29"/>
        <v>8336.0592</v>
      </c>
      <c r="V115" s="6">
        <f t="shared" si="36"/>
        <v>56</v>
      </c>
      <c r="W115" s="3" t="s">
        <v>57</v>
      </c>
      <c r="X115" s="80">
        <v>3307.96</v>
      </c>
      <c r="Y115" s="6">
        <f>0.2+0.1+0.18+0.1</f>
        <v>0.5800000000000001</v>
      </c>
      <c r="Z115" s="69">
        <f t="shared" si="30"/>
        <v>23023.401600000005</v>
      </c>
      <c r="AA115" s="21">
        <f>0.1+0.2+0.15</f>
        <v>0.45000000000000007</v>
      </c>
      <c r="AB115" s="69">
        <f t="shared" si="31"/>
        <v>17862.984000000004</v>
      </c>
      <c r="AC115" s="7">
        <v>0.12</v>
      </c>
      <c r="AD115" s="69">
        <f t="shared" si="32"/>
        <v>4763.4624</v>
      </c>
      <c r="AE115" s="6">
        <v>0.21</v>
      </c>
      <c r="AF115" s="69">
        <f t="shared" si="33"/>
        <v>8336.0592</v>
      </c>
      <c r="AG115" s="2"/>
      <c r="AH115" s="17"/>
      <c r="AI115" s="2"/>
      <c r="AJ115" s="2"/>
    </row>
    <row r="116" spans="1:36" ht="12.75">
      <c r="A116" s="6">
        <f t="shared" si="34"/>
        <v>106</v>
      </c>
      <c r="B116" s="6">
        <f t="shared" si="35"/>
        <v>57</v>
      </c>
      <c r="C116" s="3" t="s">
        <v>58</v>
      </c>
      <c r="D116" s="80">
        <v>3333.9</v>
      </c>
      <c r="E116" s="7">
        <f t="shared" si="19"/>
        <v>3.2</v>
      </c>
      <c r="F116" s="7">
        <f t="shared" si="17"/>
        <v>3.1999999999999997</v>
      </c>
      <c r="G116" s="69">
        <f t="shared" si="18"/>
        <v>128021.76000000001</v>
      </c>
      <c r="H116" s="6">
        <v>0.3</v>
      </c>
      <c r="I116" s="69">
        <f t="shared" si="23"/>
        <v>12002.039999999999</v>
      </c>
      <c r="J116" s="6">
        <v>0.3</v>
      </c>
      <c r="K116" s="69">
        <f t="shared" si="24"/>
        <v>12002.039999999999</v>
      </c>
      <c r="L116" s="6">
        <v>0.4</v>
      </c>
      <c r="M116" s="69">
        <f t="shared" si="25"/>
        <v>16002.720000000001</v>
      </c>
      <c r="N116" s="6">
        <v>0.1</v>
      </c>
      <c r="O116" s="69">
        <f t="shared" si="26"/>
        <v>4000.6800000000003</v>
      </c>
      <c r="P116" s="6">
        <v>0.14</v>
      </c>
      <c r="Q116" s="69">
        <f t="shared" si="27"/>
        <v>5600.952</v>
      </c>
      <c r="R116" s="7">
        <v>0.36</v>
      </c>
      <c r="S116" s="69">
        <f t="shared" si="28"/>
        <v>14402.448</v>
      </c>
      <c r="T116" s="7">
        <v>0.11</v>
      </c>
      <c r="U116" s="69">
        <f t="shared" si="29"/>
        <v>4400.748</v>
      </c>
      <c r="V116" s="6">
        <f t="shared" si="36"/>
        <v>57</v>
      </c>
      <c r="W116" s="3" t="s">
        <v>58</v>
      </c>
      <c r="X116" s="80">
        <v>3333.9</v>
      </c>
      <c r="Y116" s="6">
        <f>0.42+0.12+0.1+0.12</f>
        <v>0.76</v>
      </c>
      <c r="Z116" s="69">
        <f t="shared" si="30"/>
        <v>30405.168</v>
      </c>
      <c r="AA116" s="21">
        <f>0.42</f>
        <v>0.42</v>
      </c>
      <c r="AB116" s="69">
        <f t="shared" si="31"/>
        <v>16802.856</v>
      </c>
      <c r="AC116" s="7">
        <v>0.2</v>
      </c>
      <c r="AD116" s="69">
        <f t="shared" si="32"/>
        <v>8001.360000000001</v>
      </c>
      <c r="AE116" s="6">
        <v>0.11</v>
      </c>
      <c r="AF116" s="69">
        <f t="shared" si="33"/>
        <v>4400.748</v>
      </c>
      <c r="AG116" s="2"/>
      <c r="AH116" s="17"/>
      <c r="AI116" s="2"/>
      <c r="AJ116" s="2"/>
    </row>
    <row r="117" spans="1:36" ht="12.75">
      <c r="A117" s="6">
        <f t="shared" si="34"/>
        <v>107</v>
      </c>
      <c r="B117" s="6">
        <f t="shared" si="35"/>
        <v>58</v>
      </c>
      <c r="C117" s="3" t="s">
        <v>111</v>
      </c>
      <c r="D117" s="168">
        <v>2016</v>
      </c>
      <c r="E117" s="7">
        <f t="shared" si="19"/>
        <v>4.010000000000001</v>
      </c>
      <c r="F117" s="7">
        <f t="shared" si="17"/>
        <v>4.01</v>
      </c>
      <c r="G117" s="69">
        <f t="shared" si="18"/>
        <v>97009.92</v>
      </c>
      <c r="H117" s="6">
        <v>0.4</v>
      </c>
      <c r="I117" s="69">
        <f t="shared" si="23"/>
        <v>9676.800000000001</v>
      </c>
      <c r="J117" s="6">
        <v>0.31</v>
      </c>
      <c r="K117" s="69">
        <f t="shared" si="24"/>
        <v>7499.52</v>
      </c>
      <c r="L117" s="6">
        <v>0.54</v>
      </c>
      <c r="M117" s="69">
        <f t="shared" si="25"/>
        <v>13063.68</v>
      </c>
      <c r="N117" s="6">
        <v>0.2</v>
      </c>
      <c r="O117" s="69">
        <f t="shared" si="26"/>
        <v>4838.400000000001</v>
      </c>
      <c r="P117" s="6">
        <v>0.25</v>
      </c>
      <c r="Q117" s="69">
        <f t="shared" si="27"/>
        <v>6048</v>
      </c>
      <c r="R117" s="7">
        <v>0.36</v>
      </c>
      <c r="S117" s="69">
        <f t="shared" si="28"/>
        <v>8709.119999999999</v>
      </c>
      <c r="T117" s="7">
        <v>0.2</v>
      </c>
      <c r="U117" s="69">
        <f t="shared" si="29"/>
        <v>4838.400000000001</v>
      </c>
      <c r="V117" s="6">
        <f t="shared" si="36"/>
        <v>58</v>
      </c>
      <c r="W117" s="3" t="s">
        <v>111</v>
      </c>
      <c r="X117" s="168">
        <v>2016</v>
      </c>
      <c r="Y117" s="6">
        <v>0.6</v>
      </c>
      <c r="Z117" s="69">
        <f t="shared" si="30"/>
        <v>14515.199999999999</v>
      </c>
      <c r="AA117" s="2">
        <v>0.7</v>
      </c>
      <c r="AB117" s="69">
        <f t="shared" si="31"/>
        <v>16934.399999999998</v>
      </c>
      <c r="AC117" s="7">
        <v>0.25</v>
      </c>
      <c r="AD117" s="69">
        <f t="shared" si="32"/>
        <v>6048</v>
      </c>
      <c r="AE117" s="6">
        <v>0.2</v>
      </c>
      <c r="AF117" s="69">
        <f t="shared" si="33"/>
        <v>4838.400000000001</v>
      </c>
      <c r="AG117" s="2"/>
      <c r="AH117" s="17"/>
      <c r="AI117" s="2"/>
      <c r="AJ117" s="2"/>
    </row>
    <row r="118" spans="1:36" ht="12.75">
      <c r="A118" s="6">
        <f t="shared" si="34"/>
        <v>108</v>
      </c>
      <c r="B118" s="6">
        <f t="shared" si="35"/>
        <v>59</v>
      </c>
      <c r="C118" s="3" t="s">
        <v>112</v>
      </c>
      <c r="D118" s="80">
        <v>2053.5</v>
      </c>
      <c r="E118" s="7">
        <f t="shared" si="19"/>
        <v>3.830000000000001</v>
      </c>
      <c r="F118" s="7">
        <f t="shared" si="17"/>
        <v>3.83</v>
      </c>
      <c r="G118" s="69">
        <f t="shared" si="18"/>
        <v>94378.86</v>
      </c>
      <c r="H118" s="6">
        <v>0.4</v>
      </c>
      <c r="I118" s="69">
        <f t="shared" si="23"/>
        <v>9856.800000000001</v>
      </c>
      <c r="J118" s="6">
        <v>0.28</v>
      </c>
      <c r="K118" s="69">
        <f t="shared" si="24"/>
        <v>6899.76</v>
      </c>
      <c r="L118" s="6">
        <v>0.54</v>
      </c>
      <c r="M118" s="69">
        <f t="shared" si="25"/>
        <v>13306.68</v>
      </c>
      <c r="N118" s="6">
        <v>0.1</v>
      </c>
      <c r="O118" s="69">
        <f t="shared" si="26"/>
        <v>2464.2000000000003</v>
      </c>
      <c r="P118" s="6">
        <v>0.2</v>
      </c>
      <c r="Q118" s="69">
        <f t="shared" si="27"/>
        <v>4928.400000000001</v>
      </c>
      <c r="R118" s="7">
        <v>0.36</v>
      </c>
      <c r="S118" s="69">
        <f t="shared" si="28"/>
        <v>8871.119999999999</v>
      </c>
      <c r="T118" s="7">
        <v>0.2</v>
      </c>
      <c r="U118" s="69">
        <f t="shared" si="29"/>
        <v>4928.400000000001</v>
      </c>
      <c r="V118" s="6">
        <f t="shared" si="36"/>
        <v>59</v>
      </c>
      <c r="W118" s="3" t="s">
        <v>112</v>
      </c>
      <c r="X118" s="80">
        <v>2053.5</v>
      </c>
      <c r="Y118" s="6">
        <v>0.6</v>
      </c>
      <c r="Z118" s="69">
        <f t="shared" si="30"/>
        <v>14785.199999999999</v>
      </c>
      <c r="AA118" s="2">
        <v>0.7</v>
      </c>
      <c r="AB118" s="69">
        <f t="shared" si="31"/>
        <v>17249.399999999998</v>
      </c>
      <c r="AC118" s="7">
        <v>0.25</v>
      </c>
      <c r="AD118" s="69">
        <f t="shared" si="32"/>
        <v>6160.5</v>
      </c>
      <c r="AE118" s="6">
        <v>0.2</v>
      </c>
      <c r="AF118" s="69">
        <f t="shared" si="33"/>
        <v>4928.400000000001</v>
      </c>
      <c r="AG118" s="2"/>
      <c r="AH118" s="17"/>
      <c r="AI118" s="2"/>
      <c r="AJ118" s="2"/>
    </row>
    <row r="119" spans="1:36" ht="12.75">
      <c r="A119" s="6">
        <f t="shared" si="34"/>
        <v>109</v>
      </c>
      <c r="B119" s="6">
        <f t="shared" si="35"/>
        <v>60</v>
      </c>
      <c r="C119" s="3" t="s">
        <v>113</v>
      </c>
      <c r="D119" s="80">
        <v>1959</v>
      </c>
      <c r="E119" s="7">
        <f t="shared" si="19"/>
        <v>3.8400000000000007</v>
      </c>
      <c r="F119" s="7">
        <f t="shared" si="17"/>
        <v>3.84</v>
      </c>
      <c r="G119" s="69">
        <f t="shared" si="18"/>
        <v>90270.72</v>
      </c>
      <c r="H119" s="6">
        <v>0.4</v>
      </c>
      <c r="I119" s="69">
        <f t="shared" si="23"/>
        <v>9403.2</v>
      </c>
      <c r="J119" s="6">
        <v>0.29</v>
      </c>
      <c r="K119" s="69">
        <f t="shared" si="24"/>
        <v>6817.32</v>
      </c>
      <c r="L119" s="6">
        <v>0.54</v>
      </c>
      <c r="M119" s="69">
        <f t="shared" si="25"/>
        <v>12694.320000000002</v>
      </c>
      <c r="N119" s="6">
        <v>0.1</v>
      </c>
      <c r="O119" s="69">
        <f t="shared" si="26"/>
        <v>2350.8</v>
      </c>
      <c r="P119" s="6">
        <v>0.2</v>
      </c>
      <c r="Q119" s="69">
        <f t="shared" si="27"/>
        <v>4701.6</v>
      </c>
      <c r="R119" s="7">
        <v>0.36</v>
      </c>
      <c r="S119" s="69">
        <f t="shared" si="28"/>
        <v>8462.880000000001</v>
      </c>
      <c r="T119" s="7">
        <v>0.2</v>
      </c>
      <c r="U119" s="69">
        <f t="shared" si="29"/>
        <v>4701.6</v>
      </c>
      <c r="V119" s="6">
        <f t="shared" si="36"/>
        <v>60</v>
      </c>
      <c r="W119" s="3" t="s">
        <v>113</v>
      </c>
      <c r="X119" s="80">
        <v>1959</v>
      </c>
      <c r="Y119" s="6">
        <v>0.6</v>
      </c>
      <c r="Z119" s="69">
        <f t="shared" si="30"/>
        <v>14104.8</v>
      </c>
      <c r="AA119" s="2">
        <v>0.7</v>
      </c>
      <c r="AB119" s="69">
        <f t="shared" si="31"/>
        <v>16455.6</v>
      </c>
      <c r="AC119" s="7">
        <v>0.25</v>
      </c>
      <c r="AD119" s="69">
        <f t="shared" si="32"/>
        <v>5877</v>
      </c>
      <c r="AE119" s="6">
        <v>0.2</v>
      </c>
      <c r="AF119" s="69">
        <f t="shared" si="33"/>
        <v>4701.6</v>
      </c>
      <c r="AG119" s="2"/>
      <c r="AH119" s="17"/>
      <c r="AI119" s="2"/>
      <c r="AJ119" s="2"/>
    </row>
    <row r="120" spans="1:36" ht="12.75">
      <c r="A120" s="6">
        <f t="shared" si="34"/>
        <v>110</v>
      </c>
      <c r="B120" s="6">
        <f t="shared" si="35"/>
        <v>61</v>
      </c>
      <c r="C120" s="3" t="s">
        <v>205</v>
      </c>
      <c r="D120" s="80">
        <v>1303.5</v>
      </c>
      <c r="E120" s="7">
        <f t="shared" si="19"/>
        <v>4.010000000000001</v>
      </c>
      <c r="F120" s="7">
        <f t="shared" si="17"/>
        <v>4.01</v>
      </c>
      <c r="G120" s="69">
        <f t="shared" si="18"/>
        <v>62724.42</v>
      </c>
      <c r="H120" s="6">
        <v>0.5</v>
      </c>
      <c r="I120" s="69">
        <f t="shared" si="23"/>
        <v>7821</v>
      </c>
      <c r="J120" s="6">
        <v>0.31</v>
      </c>
      <c r="K120" s="69">
        <f t="shared" si="24"/>
        <v>4849.0199999999995</v>
      </c>
      <c r="L120" s="6">
        <v>0.54</v>
      </c>
      <c r="M120" s="69">
        <f t="shared" si="25"/>
        <v>8446.68</v>
      </c>
      <c r="N120" s="6">
        <v>0.18</v>
      </c>
      <c r="O120" s="69">
        <f t="shared" si="26"/>
        <v>2815.56</v>
      </c>
      <c r="P120" s="6">
        <v>0.17</v>
      </c>
      <c r="Q120" s="69">
        <f t="shared" si="27"/>
        <v>2659.1400000000003</v>
      </c>
      <c r="R120" s="7">
        <v>0.36</v>
      </c>
      <c r="S120" s="69">
        <f t="shared" si="28"/>
        <v>5631.12</v>
      </c>
      <c r="T120" s="7">
        <v>0.2</v>
      </c>
      <c r="U120" s="69">
        <f t="shared" si="29"/>
        <v>3128.3999999999996</v>
      </c>
      <c r="V120" s="6">
        <f t="shared" si="36"/>
        <v>61</v>
      </c>
      <c r="W120" s="3" t="s">
        <v>205</v>
      </c>
      <c r="X120" s="80">
        <v>1303.5</v>
      </c>
      <c r="Y120" s="6">
        <v>0.6</v>
      </c>
      <c r="Z120" s="69">
        <f t="shared" si="30"/>
        <v>9385.2</v>
      </c>
      <c r="AA120" s="2">
        <v>0.7</v>
      </c>
      <c r="AB120" s="69">
        <f t="shared" si="31"/>
        <v>10949.4</v>
      </c>
      <c r="AC120" s="7">
        <v>0.25</v>
      </c>
      <c r="AD120" s="69">
        <f t="shared" si="32"/>
        <v>3910.5</v>
      </c>
      <c r="AE120" s="6">
        <v>0.2</v>
      </c>
      <c r="AF120" s="69">
        <f t="shared" si="33"/>
        <v>3128.3999999999996</v>
      </c>
      <c r="AG120" s="2"/>
      <c r="AH120" s="17"/>
      <c r="AI120" s="2"/>
      <c r="AJ120" s="2"/>
    </row>
    <row r="121" spans="1:36" ht="12.75">
      <c r="A121" s="6">
        <f t="shared" si="34"/>
        <v>111</v>
      </c>
      <c r="B121" s="6">
        <f t="shared" si="35"/>
        <v>62</v>
      </c>
      <c r="C121" s="3" t="s">
        <v>206</v>
      </c>
      <c r="D121" s="168">
        <v>960</v>
      </c>
      <c r="E121" s="7">
        <f t="shared" si="19"/>
        <v>3.8200000000000003</v>
      </c>
      <c r="F121" s="7">
        <f t="shared" si="17"/>
        <v>3.8200000000000003</v>
      </c>
      <c r="G121" s="69">
        <f t="shared" si="18"/>
        <v>44006.4</v>
      </c>
      <c r="H121" s="6">
        <v>0.4</v>
      </c>
      <c r="I121" s="69">
        <f t="shared" si="23"/>
        <v>4608</v>
      </c>
      <c r="J121" s="6">
        <v>0.27</v>
      </c>
      <c r="K121" s="69">
        <f t="shared" si="24"/>
        <v>3110.4000000000005</v>
      </c>
      <c r="L121" s="6">
        <v>0.54</v>
      </c>
      <c r="M121" s="69">
        <f t="shared" si="25"/>
        <v>6220.800000000001</v>
      </c>
      <c r="N121" s="6">
        <v>0.1</v>
      </c>
      <c r="O121" s="69">
        <f t="shared" si="26"/>
        <v>1152</v>
      </c>
      <c r="P121" s="6">
        <v>0.2</v>
      </c>
      <c r="Q121" s="69">
        <f t="shared" si="27"/>
        <v>2304</v>
      </c>
      <c r="R121" s="7">
        <v>0.36</v>
      </c>
      <c r="S121" s="69">
        <f t="shared" si="28"/>
        <v>4147.2</v>
      </c>
      <c r="T121" s="7">
        <v>0.2</v>
      </c>
      <c r="U121" s="69">
        <f t="shared" si="29"/>
        <v>2304</v>
      </c>
      <c r="V121" s="6">
        <f t="shared" si="36"/>
        <v>62</v>
      </c>
      <c r="W121" s="3" t="s">
        <v>206</v>
      </c>
      <c r="X121" s="168">
        <v>960</v>
      </c>
      <c r="Y121" s="6">
        <v>0.6</v>
      </c>
      <c r="Z121" s="69">
        <f t="shared" si="30"/>
        <v>6912</v>
      </c>
      <c r="AA121" s="2">
        <v>0.7</v>
      </c>
      <c r="AB121" s="69">
        <f t="shared" si="31"/>
        <v>8064</v>
      </c>
      <c r="AC121" s="7">
        <v>0.25</v>
      </c>
      <c r="AD121" s="69">
        <f t="shared" si="32"/>
        <v>2880</v>
      </c>
      <c r="AE121" s="6">
        <v>0.2</v>
      </c>
      <c r="AF121" s="69">
        <f t="shared" si="33"/>
        <v>2304</v>
      </c>
      <c r="AG121" s="2"/>
      <c r="AH121" s="17"/>
      <c r="AI121" s="2"/>
      <c r="AJ121" s="2"/>
    </row>
    <row r="122" spans="1:36" ht="12.75">
      <c r="A122" s="6">
        <f t="shared" si="34"/>
        <v>112</v>
      </c>
      <c r="B122" s="6">
        <f t="shared" si="35"/>
        <v>63</v>
      </c>
      <c r="C122" s="3" t="s">
        <v>209</v>
      </c>
      <c r="D122" s="80">
        <v>1980.6</v>
      </c>
      <c r="E122" s="7">
        <f aca="true" t="shared" si="37" ref="E122:E142">H122+J122+L122+N122+P122+R122+T122+Y122+AA122+AC122+AE122</f>
        <v>3.790000000000001</v>
      </c>
      <c r="F122" s="7">
        <f aca="true" t="shared" si="38" ref="F122:F143">G122/D122/12</f>
        <v>3.7899999999999996</v>
      </c>
      <c r="G122" s="69">
        <f aca="true" t="shared" si="39" ref="G122:G143">I122+K122+M122+O122+Q122+S122+U122+Z122+AD122+AF122+AB122</f>
        <v>90077.688</v>
      </c>
      <c r="H122" s="6">
        <v>0.4</v>
      </c>
      <c r="I122" s="69">
        <f t="shared" si="23"/>
        <v>9506.880000000001</v>
      </c>
      <c r="J122" s="6">
        <v>0.26</v>
      </c>
      <c r="K122" s="69">
        <f t="shared" si="24"/>
        <v>6179.472</v>
      </c>
      <c r="L122" s="6">
        <v>0.54</v>
      </c>
      <c r="M122" s="69">
        <f t="shared" si="25"/>
        <v>12834.288</v>
      </c>
      <c r="N122" s="6">
        <v>0.1</v>
      </c>
      <c r="O122" s="69">
        <f t="shared" si="26"/>
        <v>2376.7200000000003</v>
      </c>
      <c r="P122" s="6">
        <v>0.18</v>
      </c>
      <c r="Q122" s="69">
        <f t="shared" si="27"/>
        <v>4278.096</v>
      </c>
      <c r="R122" s="7">
        <v>0.36</v>
      </c>
      <c r="S122" s="69">
        <f t="shared" si="28"/>
        <v>8556.192</v>
      </c>
      <c r="T122" s="7">
        <v>0.2</v>
      </c>
      <c r="U122" s="69">
        <f t="shared" si="29"/>
        <v>4753.4400000000005</v>
      </c>
      <c r="V122" s="6">
        <f t="shared" si="36"/>
        <v>63</v>
      </c>
      <c r="W122" s="3" t="s">
        <v>209</v>
      </c>
      <c r="X122" s="80">
        <v>1980.6</v>
      </c>
      <c r="Y122" s="6">
        <v>0.6</v>
      </c>
      <c r="Z122" s="69">
        <f t="shared" si="30"/>
        <v>14260.32</v>
      </c>
      <c r="AA122" s="2">
        <v>0.7</v>
      </c>
      <c r="AB122" s="69">
        <f t="shared" si="31"/>
        <v>16637.039999999997</v>
      </c>
      <c r="AC122" s="7">
        <v>0.25</v>
      </c>
      <c r="AD122" s="69">
        <f t="shared" si="32"/>
        <v>5941.799999999999</v>
      </c>
      <c r="AE122" s="6">
        <v>0.2</v>
      </c>
      <c r="AF122" s="69">
        <f t="shared" si="33"/>
        <v>4753.4400000000005</v>
      </c>
      <c r="AG122" s="2"/>
      <c r="AH122" s="17"/>
      <c r="AI122" s="2"/>
      <c r="AJ122" s="2"/>
    </row>
    <row r="123" spans="1:36" ht="12.75">
      <c r="A123" s="6">
        <f t="shared" si="34"/>
        <v>113</v>
      </c>
      <c r="B123" s="6">
        <f t="shared" si="35"/>
        <v>64</v>
      </c>
      <c r="C123" s="3" t="s">
        <v>59</v>
      </c>
      <c r="D123" s="80">
        <v>1998.9</v>
      </c>
      <c r="E123" s="7">
        <f t="shared" si="37"/>
        <v>3.2</v>
      </c>
      <c r="F123" s="7">
        <f t="shared" si="38"/>
        <v>3.2000000000000006</v>
      </c>
      <c r="G123" s="69">
        <f t="shared" si="39"/>
        <v>76757.76000000001</v>
      </c>
      <c r="H123" s="6">
        <v>0.35</v>
      </c>
      <c r="I123" s="69">
        <f t="shared" si="23"/>
        <v>8395.380000000001</v>
      </c>
      <c r="J123" s="6">
        <v>0.35</v>
      </c>
      <c r="K123" s="69">
        <f t="shared" si="24"/>
        <v>8395.380000000001</v>
      </c>
      <c r="L123" s="6">
        <v>0.45</v>
      </c>
      <c r="M123" s="69">
        <f t="shared" si="25"/>
        <v>10794.060000000001</v>
      </c>
      <c r="N123" s="6">
        <v>0.15</v>
      </c>
      <c r="O123" s="69">
        <f t="shared" si="26"/>
        <v>3598.0199999999995</v>
      </c>
      <c r="P123" s="6">
        <v>0.2</v>
      </c>
      <c r="Q123" s="69">
        <f t="shared" si="27"/>
        <v>4797.360000000001</v>
      </c>
      <c r="R123" s="7">
        <v>0.36</v>
      </c>
      <c r="S123" s="69">
        <f t="shared" si="28"/>
        <v>8635.248</v>
      </c>
      <c r="T123" s="7">
        <v>0.1</v>
      </c>
      <c r="U123" s="69">
        <f t="shared" si="29"/>
        <v>2398.6800000000003</v>
      </c>
      <c r="V123" s="6">
        <f t="shared" si="36"/>
        <v>64</v>
      </c>
      <c r="W123" s="3" t="s">
        <v>59</v>
      </c>
      <c r="X123" s="80">
        <v>1998.9</v>
      </c>
      <c r="Y123" s="6">
        <f>0.2+0.15+0.11+0.1</f>
        <v>0.5599999999999999</v>
      </c>
      <c r="Z123" s="69">
        <f t="shared" si="30"/>
        <v>13432.608</v>
      </c>
      <c r="AA123" s="21">
        <f>0.1+0.2+0.12</f>
        <v>0.42000000000000004</v>
      </c>
      <c r="AB123" s="69">
        <f t="shared" si="31"/>
        <v>10074.456000000002</v>
      </c>
      <c r="AC123" s="7">
        <v>0.16</v>
      </c>
      <c r="AD123" s="69">
        <f t="shared" si="32"/>
        <v>3837.888</v>
      </c>
      <c r="AE123" s="6">
        <v>0.1</v>
      </c>
      <c r="AF123" s="69">
        <f t="shared" si="33"/>
        <v>2398.6800000000003</v>
      </c>
      <c r="AG123" s="2"/>
      <c r="AH123" s="17"/>
      <c r="AI123" s="2"/>
      <c r="AJ123" s="2"/>
    </row>
    <row r="124" spans="1:36" ht="12.75">
      <c r="A124" s="6">
        <f t="shared" si="34"/>
        <v>114</v>
      </c>
      <c r="B124" s="6">
        <f t="shared" si="35"/>
        <v>65</v>
      </c>
      <c r="C124" s="3" t="s">
        <v>60</v>
      </c>
      <c r="D124" s="80">
        <v>2168.1</v>
      </c>
      <c r="E124" s="7">
        <f t="shared" si="37"/>
        <v>2.6799999999999997</v>
      </c>
      <c r="F124" s="7">
        <f t="shared" si="38"/>
        <v>2.6799999999999997</v>
      </c>
      <c r="G124" s="69">
        <f t="shared" si="39"/>
        <v>69726.09599999999</v>
      </c>
      <c r="H124" s="6">
        <v>0.3</v>
      </c>
      <c r="I124" s="69">
        <f t="shared" si="23"/>
        <v>7805.16</v>
      </c>
      <c r="J124" s="6">
        <v>0.3</v>
      </c>
      <c r="K124" s="69">
        <f t="shared" si="24"/>
        <v>7805.16</v>
      </c>
      <c r="L124" s="6">
        <v>0.35</v>
      </c>
      <c r="M124" s="69">
        <f t="shared" si="25"/>
        <v>9106.019999999999</v>
      </c>
      <c r="N124" s="6">
        <v>0.1</v>
      </c>
      <c r="O124" s="69">
        <f t="shared" si="26"/>
        <v>2601.7200000000003</v>
      </c>
      <c r="P124" s="6">
        <v>0.2</v>
      </c>
      <c r="Q124" s="69">
        <f t="shared" si="27"/>
        <v>5203.4400000000005</v>
      </c>
      <c r="R124" s="7">
        <v>0.36</v>
      </c>
      <c r="S124" s="69">
        <f t="shared" si="28"/>
        <v>9366.192</v>
      </c>
      <c r="T124" s="7">
        <v>0.11</v>
      </c>
      <c r="U124" s="69">
        <f t="shared" si="29"/>
        <v>2861.892</v>
      </c>
      <c r="V124" s="6">
        <f t="shared" si="36"/>
        <v>65</v>
      </c>
      <c r="W124" s="3" t="s">
        <v>60</v>
      </c>
      <c r="X124" s="80">
        <v>2168.1</v>
      </c>
      <c r="Y124" s="6">
        <f>0.2+0.11+0.12</f>
        <v>0.43</v>
      </c>
      <c r="Z124" s="69">
        <f t="shared" si="30"/>
        <v>11187.395999999999</v>
      </c>
      <c r="AA124" s="21">
        <f>0.3</f>
        <v>0.3</v>
      </c>
      <c r="AB124" s="69">
        <f t="shared" si="31"/>
        <v>7805.16</v>
      </c>
      <c r="AC124" s="7">
        <v>0.12</v>
      </c>
      <c r="AD124" s="69">
        <f t="shared" si="32"/>
        <v>3122.0639999999994</v>
      </c>
      <c r="AE124" s="6">
        <v>0.11</v>
      </c>
      <c r="AF124" s="69">
        <f t="shared" si="33"/>
        <v>2861.892</v>
      </c>
      <c r="AG124" s="2"/>
      <c r="AH124" s="17"/>
      <c r="AI124" s="2"/>
      <c r="AJ124" s="2"/>
    </row>
    <row r="125" spans="1:36" ht="12.75">
      <c r="A125" s="6">
        <f t="shared" si="34"/>
        <v>115</v>
      </c>
      <c r="B125" s="6">
        <f t="shared" si="35"/>
        <v>66</v>
      </c>
      <c r="C125" s="3" t="s">
        <v>61</v>
      </c>
      <c r="D125" s="80">
        <v>2026.6</v>
      </c>
      <c r="E125" s="7">
        <f t="shared" si="37"/>
        <v>3.1999999999999997</v>
      </c>
      <c r="F125" s="7">
        <f t="shared" si="38"/>
        <v>3.1999999999999997</v>
      </c>
      <c r="G125" s="69">
        <f t="shared" si="39"/>
        <v>77821.43999999999</v>
      </c>
      <c r="H125" s="6">
        <v>0.35</v>
      </c>
      <c r="I125" s="69">
        <f t="shared" si="23"/>
        <v>8511.72</v>
      </c>
      <c r="J125" s="6">
        <v>0.35</v>
      </c>
      <c r="K125" s="69">
        <f t="shared" si="24"/>
        <v>8511.72</v>
      </c>
      <c r="L125" s="6">
        <v>0.45</v>
      </c>
      <c r="M125" s="69">
        <f t="shared" si="25"/>
        <v>10943.64</v>
      </c>
      <c r="N125" s="6">
        <v>0.15</v>
      </c>
      <c r="O125" s="69">
        <f t="shared" si="26"/>
        <v>3647.879999999999</v>
      </c>
      <c r="P125" s="6">
        <v>0.2</v>
      </c>
      <c r="Q125" s="69">
        <f t="shared" si="27"/>
        <v>4863.84</v>
      </c>
      <c r="R125" s="7">
        <v>0.36</v>
      </c>
      <c r="S125" s="69">
        <f t="shared" si="28"/>
        <v>8754.911999999998</v>
      </c>
      <c r="T125" s="7">
        <v>0.11</v>
      </c>
      <c r="U125" s="69">
        <f t="shared" si="29"/>
        <v>2675.112</v>
      </c>
      <c r="V125" s="6">
        <f t="shared" si="36"/>
        <v>66</v>
      </c>
      <c r="W125" s="3" t="s">
        <v>61</v>
      </c>
      <c r="X125" s="80">
        <v>2026.6</v>
      </c>
      <c r="Y125" s="6">
        <f>0.11+0.15+0.14+0.1</f>
        <v>0.5</v>
      </c>
      <c r="Z125" s="69">
        <f t="shared" si="30"/>
        <v>12159.599999999999</v>
      </c>
      <c r="AA125" s="21">
        <f>0.1+0.2+0.12</f>
        <v>0.42000000000000004</v>
      </c>
      <c r="AB125" s="69">
        <f t="shared" si="31"/>
        <v>10214.064</v>
      </c>
      <c r="AC125" s="7">
        <v>0.2</v>
      </c>
      <c r="AD125" s="69">
        <f t="shared" si="32"/>
        <v>4863.84</v>
      </c>
      <c r="AE125" s="6">
        <v>0.11</v>
      </c>
      <c r="AF125" s="69">
        <f t="shared" si="33"/>
        <v>2675.112</v>
      </c>
      <c r="AG125" s="2"/>
      <c r="AH125" s="17"/>
      <c r="AI125" s="2"/>
      <c r="AJ125" s="2"/>
    </row>
    <row r="126" spans="1:36" ht="12.75">
      <c r="A126" s="6">
        <f t="shared" si="34"/>
        <v>116</v>
      </c>
      <c r="B126" s="6">
        <f t="shared" si="35"/>
        <v>67</v>
      </c>
      <c r="C126" s="3" t="s">
        <v>62</v>
      </c>
      <c r="D126" s="80">
        <v>6590.55</v>
      </c>
      <c r="E126" s="7">
        <f t="shared" si="37"/>
        <v>3.4</v>
      </c>
      <c r="F126" s="7">
        <f t="shared" si="38"/>
        <v>3.400000000000001</v>
      </c>
      <c r="G126" s="69">
        <f t="shared" si="39"/>
        <v>268894.44000000006</v>
      </c>
      <c r="H126" s="6">
        <v>0.35</v>
      </c>
      <c r="I126" s="69">
        <f t="shared" si="23"/>
        <v>27680.31</v>
      </c>
      <c r="J126" s="6">
        <v>0.35</v>
      </c>
      <c r="K126" s="69">
        <f t="shared" si="24"/>
        <v>27680.31</v>
      </c>
      <c r="L126" s="6">
        <v>0.5</v>
      </c>
      <c r="M126" s="69">
        <f t="shared" si="25"/>
        <v>39543.3</v>
      </c>
      <c r="N126" s="6">
        <v>0.2</v>
      </c>
      <c r="O126" s="69">
        <f t="shared" si="26"/>
        <v>15817.320000000002</v>
      </c>
      <c r="P126" s="6">
        <v>0.26</v>
      </c>
      <c r="Q126" s="69">
        <f t="shared" si="27"/>
        <v>20562.516000000003</v>
      </c>
      <c r="R126" s="7">
        <v>0.36</v>
      </c>
      <c r="S126" s="69">
        <f t="shared" si="28"/>
        <v>28471.176</v>
      </c>
      <c r="T126" s="7">
        <v>0.11</v>
      </c>
      <c r="U126" s="69">
        <f t="shared" si="29"/>
        <v>8699.526</v>
      </c>
      <c r="V126" s="6">
        <f t="shared" si="36"/>
        <v>67</v>
      </c>
      <c r="W126" s="3" t="s">
        <v>62</v>
      </c>
      <c r="X126" s="80">
        <v>6590.55</v>
      </c>
      <c r="Y126" s="6">
        <f>0.2+0.15+0.11+0.1</f>
        <v>0.5599999999999999</v>
      </c>
      <c r="Z126" s="69">
        <f t="shared" si="30"/>
        <v>44288.496</v>
      </c>
      <c r="AA126" s="21">
        <v>0.4</v>
      </c>
      <c r="AB126" s="69">
        <f t="shared" si="31"/>
        <v>31634.640000000003</v>
      </c>
      <c r="AC126" s="7">
        <v>0.2</v>
      </c>
      <c r="AD126" s="69">
        <f t="shared" si="32"/>
        <v>15817.320000000002</v>
      </c>
      <c r="AE126" s="6">
        <v>0.11</v>
      </c>
      <c r="AF126" s="69">
        <f t="shared" si="33"/>
        <v>8699.526</v>
      </c>
      <c r="AG126" s="2"/>
      <c r="AH126" s="17"/>
      <c r="AI126" s="2"/>
      <c r="AJ126" s="2"/>
    </row>
    <row r="127" spans="1:36" ht="12.75">
      <c r="A127" s="6">
        <f t="shared" si="34"/>
        <v>117</v>
      </c>
      <c r="B127" s="6">
        <f t="shared" si="35"/>
        <v>68</v>
      </c>
      <c r="C127" s="3" t="s">
        <v>63</v>
      </c>
      <c r="D127" s="80">
        <v>4542.65</v>
      </c>
      <c r="E127" s="7">
        <f t="shared" si="37"/>
        <v>3.78</v>
      </c>
      <c r="F127" s="7">
        <f t="shared" si="38"/>
        <v>3.78</v>
      </c>
      <c r="G127" s="69">
        <f t="shared" si="39"/>
        <v>206054.604</v>
      </c>
      <c r="H127" s="6">
        <v>0.35</v>
      </c>
      <c r="I127" s="69">
        <f t="shared" si="23"/>
        <v>19079.129999999997</v>
      </c>
      <c r="J127" s="6">
        <v>0.35</v>
      </c>
      <c r="K127" s="69">
        <f t="shared" si="24"/>
        <v>19079.129999999997</v>
      </c>
      <c r="L127" s="6">
        <v>0.5</v>
      </c>
      <c r="M127" s="69">
        <f t="shared" si="25"/>
        <v>27255.899999999998</v>
      </c>
      <c r="N127" s="6">
        <v>0.1</v>
      </c>
      <c r="O127" s="69">
        <f t="shared" si="26"/>
        <v>5451.18</v>
      </c>
      <c r="P127" s="6">
        <v>0.3</v>
      </c>
      <c r="Q127" s="69">
        <f t="shared" si="27"/>
        <v>16353.539999999997</v>
      </c>
      <c r="R127" s="7">
        <v>0.36</v>
      </c>
      <c r="S127" s="69">
        <f t="shared" si="28"/>
        <v>19624.248</v>
      </c>
      <c r="T127" s="7">
        <v>0.3</v>
      </c>
      <c r="U127" s="69">
        <f t="shared" si="29"/>
        <v>16353.539999999997</v>
      </c>
      <c r="V127" s="6">
        <f t="shared" si="36"/>
        <v>68</v>
      </c>
      <c r="W127" s="3" t="s">
        <v>63</v>
      </c>
      <c r="X127" s="80">
        <v>4542.65</v>
      </c>
      <c r="Y127" s="6">
        <v>0.58</v>
      </c>
      <c r="Z127" s="69">
        <f t="shared" si="30"/>
        <v>31616.843999999997</v>
      </c>
      <c r="AA127" s="21">
        <f>0.2+0.2+0.04</f>
        <v>0.44</v>
      </c>
      <c r="AB127" s="69">
        <f t="shared" si="31"/>
        <v>23985.192</v>
      </c>
      <c r="AC127" s="7">
        <v>0.2</v>
      </c>
      <c r="AD127" s="69">
        <f t="shared" si="32"/>
        <v>10902.36</v>
      </c>
      <c r="AE127" s="6">
        <v>0.3</v>
      </c>
      <c r="AF127" s="69">
        <f t="shared" si="33"/>
        <v>16353.539999999997</v>
      </c>
      <c r="AG127" s="2"/>
      <c r="AH127" s="17"/>
      <c r="AI127" s="2"/>
      <c r="AJ127" s="2"/>
    </row>
    <row r="128" spans="1:36" ht="12.75">
      <c r="A128" s="6">
        <f t="shared" si="34"/>
        <v>118</v>
      </c>
      <c r="B128" s="6">
        <f t="shared" si="35"/>
        <v>69</v>
      </c>
      <c r="C128" s="3" t="s">
        <v>64</v>
      </c>
      <c r="D128" s="80">
        <v>6051.96</v>
      </c>
      <c r="E128" s="7">
        <f t="shared" si="37"/>
        <v>3.6</v>
      </c>
      <c r="F128" s="7">
        <f t="shared" si="38"/>
        <v>3.5999999999999996</v>
      </c>
      <c r="G128" s="69">
        <f t="shared" si="39"/>
        <v>261444.67199999996</v>
      </c>
      <c r="H128" s="6">
        <v>0.4</v>
      </c>
      <c r="I128" s="69">
        <f t="shared" si="23"/>
        <v>29049.408000000003</v>
      </c>
      <c r="J128" s="6">
        <v>0.4</v>
      </c>
      <c r="K128" s="69">
        <f t="shared" si="24"/>
        <v>29049.408000000003</v>
      </c>
      <c r="L128" s="6">
        <v>0.5</v>
      </c>
      <c r="M128" s="69">
        <f t="shared" si="25"/>
        <v>36311.76</v>
      </c>
      <c r="N128" s="6">
        <v>0.14</v>
      </c>
      <c r="O128" s="69">
        <f t="shared" si="26"/>
        <v>10167.292800000001</v>
      </c>
      <c r="P128" s="6">
        <v>0.3</v>
      </c>
      <c r="Q128" s="69">
        <f t="shared" si="27"/>
        <v>21787.056</v>
      </c>
      <c r="R128" s="7">
        <v>0.36</v>
      </c>
      <c r="S128" s="69">
        <f t="shared" si="28"/>
        <v>26144.4672</v>
      </c>
      <c r="T128" s="7">
        <v>0.15</v>
      </c>
      <c r="U128" s="69">
        <f t="shared" si="29"/>
        <v>10893.528</v>
      </c>
      <c r="V128" s="6">
        <f t="shared" si="36"/>
        <v>69</v>
      </c>
      <c r="W128" s="3" t="s">
        <v>64</v>
      </c>
      <c r="X128" s="80">
        <v>6051.96</v>
      </c>
      <c r="Y128" s="6">
        <v>0.6</v>
      </c>
      <c r="Z128" s="69">
        <f t="shared" si="30"/>
        <v>43574.112</v>
      </c>
      <c r="AA128" s="21">
        <f>0.4</f>
        <v>0.4</v>
      </c>
      <c r="AB128" s="69">
        <f t="shared" si="31"/>
        <v>29049.408000000003</v>
      </c>
      <c r="AC128" s="7">
        <v>0.2</v>
      </c>
      <c r="AD128" s="69">
        <f t="shared" si="32"/>
        <v>14524.704000000002</v>
      </c>
      <c r="AE128" s="6">
        <v>0.15</v>
      </c>
      <c r="AF128" s="69">
        <f t="shared" si="33"/>
        <v>10893.528</v>
      </c>
      <c r="AG128" s="2"/>
      <c r="AH128" s="17"/>
      <c r="AI128" s="2"/>
      <c r="AJ128" s="2"/>
    </row>
    <row r="129" spans="1:36" ht="12.75">
      <c r="A129" s="6">
        <f t="shared" si="34"/>
        <v>119</v>
      </c>
      <c r="B129" s="6">
        <f t="shared" si="35"/>
        <v>70</v>
      </c>
      <c r="C129" s="3" t="s">
        <v>65</v>
      </c>
      <c r="D129" s="80">
        <v>3331.1</v>
      </c>
      <c r="E129" s="7">
        <f t="shared" si="37"/>
        <v>3.1999999999999997</v>
      </c>
      <c r="F129" s="7">
        <f t="shared" si="38"/>
        <v>3.1999999999999997</v>
      </c>
      <c r="G129" s="69">
        <f t="shared" si="39"/>
        <v>127914.23999999999</v>
      </c>
      <c r="H129" s="6">
        <v>0.35</v>
      </c>
      <c r="I129" s="69">
        <f t="shared" si="23"/>
        <v>13990.619999999999</v>
      </c>
      <c r="J129" s="6">
        <v>0.35</v>
      </c>
      <c r="K129" s="69">
        <f t="shared" si="24"/>
        <v>13990.619999999999</v>
      </c>
      <c r="L129" s="6">
        <v>0.45</v>
      </c>
      <c r="M129" s="69">
        <f t="shared" si="25"/>
        <v>17987.94</v>
      </c>
      <c r="N129" s="6">
        <v>0.2</v>
      </c>
      <c r="O129" s="69">
        <f t="shared" si="26"/>
        <v>7994.64</v>
      </c>
      <c r="P129" s="6">
        <v>0.3</v>
      </c>
      <c r="Q129" s="69">
        <f t="shared" si="27"/>
        <v>11991.96</v>
      </c>
      <c r="R129" s="7">
        <v>0.36</v>
      </c>
      <c r="S129" s="69">
        <f t="shared" si="28"/>
        <v>14390.351999999999</v>
      </c>
      <c r="T129" s="7">
        <v>0.11</v>
      </c>
      <c r="U129" s="69">
        <f t="shared" si="29"/>
        <v>4397.052</v>
      </c>
      <c r="V129" s="6">
        <f t="shared" si="36"/>
        <v>70</v>
      </c>
      <c r="W129" s="3" t="s">
        <v>65</v>
      </c>
      <c r="X129" s="80">
        <v>3331.1</v>
      </c>
      <c r="Y129" s="6">
        <v>0.37</v>
      </c>
      <c r="Z129" s="69">
        <f t="shared" si="30"/>
        <v>14790.084</v>
      </c>
      <c r="AA129" s="21">
        <v>0.4</v>
      </c>
      <c r="AB129" s="69">
        <f t="shared" si="31"/>
        <v>15989.28</v>
      </c>
      <c r="AC129" s="7">
        <v>0.2</v>
      </c>
      <c r="AD129" s="69">
        <f t="shared" si="32"/>
        <v>7994.64</v>
      </c>
      <c r="AE129" s="6">
        <v>0.11</v>
      </c>
      <c r="AF129" s="69">
        <f t="shared" si="33"/>
        <v>4397.052</v>
      </c>
      <c r="AG129" s="2"/>
      <c r="AH129" s="17"/>
      <c r="AI129" s="2"/>
      <c r="AJ129" s="2"/>
    </row>
    <row r="130" spans="1:36" ht="12.75">
      <c r="A130" s="6">
        <f t="shared" si="34"/>
        <v>120</v>
      </c>
      <c r="B130" s="6">
        <f t="shared" si="35"/>
        <v>71</v>
      </c>
      <c r="C130" s="3" t="s">
        <v>66</v>
      </c>
      <c r="D130" s="80">
        <v>3429.3</v>
      </c>
      <c r="E130" s="7">
        <f t="shared" si="37"/>
        <v>3.5900000000000003</v>
      </c>
      <c r="F130" s="7">
        <f t="shared" si="38"/>
        <v>3.5900000000000003</v>
      </c>
      <c r="G130" s="69">
        <f t="shared" si="39"/>
        <v>147734.24400000004</v>
      </c>
      <c r="H130" s="6">
        <v>0.35</v>
      </c>
      <c r="I130" s="69">
        <f t="shared" si="23"/>
        <v>14403.059999999998</v>
      </c>
      <c r="J130" s="6">
        <v>0.28</v>
      </c>
      <c r="K130" s="69">
        <f t="shared" si="24"/>
        <v>11522.448000000002</v>
      </c>
      <c r="L130" s="6">
        <v>0.4</v>
      </c>
      <c r="M130" s="69">
        <f t="shared" si="25"/>
        <v>16460.640000000003</v>
      </c>
      <c r="N130" s="6">
        <v>0.2</v>
      </c>
      <c r="O130" s="69">
        <f t="shared" si="26"/>
        <v>8230.320000000002</v>
      </c>
      <c r="P130" s="6">
        <v>0.25</v>
      </c>
      <c r="Q130" s="69">
        <f t="shared" si="27"/>
        <v>10287.900000000001</v>
      </c>
      <c r="R130" s="7">
        <v>0.36</v>
      </c>
      <c r="S130" s="69">
        <f t="shared" si="28"/>
        <v>14814.576000000001</v>
      </c>
      <c r="T130" s="7">
        <v>0.31</v>
      </c>
      <c r="U130" s="69">
        <f t="shared" si="29"/>
        <v>12756.996000000001</v>
      </c>
      <c r="V130" s="6">
        <f t="shared" si="36"/>
        <v>71</v>
      </c>
      <c r="W130" s="3" t="s">
        <v>66</v>
      </c>
      <c r="X130" s="80">
        <v>3429.3</v>
      </c>
      <c r="Y130" s="6">
        <f>0.2+0.11+0.12+0.12</f>
        <v>0.55</v>
      </c>
      <c r="Z130" s="69">
        <f t="shared" si="30"/>
        <v>22633.380000000005</v>
      </c>
      <c r="AA130" s="21">
        <f>0.39</f>
        <v>0.39</v>
      </c>
      <c r="AB130" s="69">
        <f t="shared" si="31"/>
        <v>16049.124000000002</v>
      </c>
      <c r="AC130" s="7">
        <v>0.2</v>
      </c>
      <c r="AD130" s="69">
        <f t="shared" si="32"/>
        <v>8230.320000000002</v>
      </c>
      <c r="AE130" s="6">
        <v>0.3</v>
      </c>
      <c r="AF130" s="69">
        <f t="shared" si="33"/>
        <v>12345.48</v>
      </c>
      <c r="AG130" s="2"/>
      <c r="AH130" s="17"/>
      <c r="AI130" s="2"/>
      <c r="AJ130" s="2"/>
    </row>
    <row r="131" spans="1:36" ht="12.75">
      <c r="A131" s="6">
        <f t="shared" si="34"/>
        <v>121</v>
      </c>
      <c r="B131" s="6">
        <f t="shared" si="35"/>
        <v>72</v>
      </c>
      <c r="C131" s="3" t="s">
        <v>67</v>
      </c>
      <c r="D131" s="80">
        <v>3762.8</v>
      </c>
      <c r="E131" s="7">
        <f t="shared" si="37"/>
        <v>3.26</v>
      </c>
      <c r="F131" s="7">
        <f t="shared" si="38"/>
        <v>3.26</v>
      </c>
      <c r="G131" s="69">
        <f t="shared" si="39"/>
        <v>147200.736</v>
      </c>
      <c r="H131" s="6">
        <v>0.35</v>
      </c>
      <c r="I131" s="69">
        <f t="shared" si="23"/>
        <v>15803.76</v>
      </c>
      <c r="J131" s="6">
        <v>0.35</v>
      </c>
      <c r="K131" s="69">
        <f t="shared" si="24"/>
        <v>15803.76</v>
      </c>
      <c r="L131" s="6">
        <v>0.45</v>
      </c>
      <c r="M131" s="69">
        <f t="shared" si="25"/>
        <v>20319.120000000003</v>
      </c>
      <c r="N131" s="6">
        <v>0.2</v>
      </c>
      <c r="O131" s="69">
        <f t="shared" si="26"/>
        <v>9030.720000000001</v>
      </c>
      <c r="P131" s="6">
        <v>0.2</v>
      </c>
      <c r="Q131" s="69">
        <f t="shared" si="27"/>
        <v>9030.720000000001</v>
      </c>
      <c r="R131" s="7">
        <v>0.36</v>
      </c>
      <c r="S131" s="69">
        <f t="shared" si="28"/>
        <v>16255.295999999998</v>
      </c>
      <c r="T131" s="7">
        <v>0.11</v>
      </c>
      <c r="U131" s="69">
        <f t="shared" si="29"/>
        <v>4966.896000000001</v>
      </c>
      <c r="V131" s="6">
        <f t="shared" si="36"/>
        <v>72</v>
      </c>
      <c r="W131" s="3" t="s">
        <v>67</v>
      </c>
      <c r="X131" s="80">
        <v>3762.8</v>
      </c>
      <c r="Y131" s="6">
        <f>0.15+0.15+0.14+0.1</f>
        <v>0.54</v>
      </c>
      <c r="Z131" s="69">
        <f t="shared" si="30"/>
        <v>24382.944000000003</v>
      </c>
      <c r="AA131" s="21">
        <v>0.39</v>
      </c>
      <c r="AB131" s="69">
        <f t="shared" si="31"/>
        <v>17609.904000000002</v>
      </c>
      <c r="AC131" s="7">
        <v>0.2</v>
      </c>
      <c r="AD131" s="69">
        <f t="shared" si="32"/>
        <v>9030.720000000001</v>
      </c>
      <c r="AE131" s="6">
        <v>0.11</v>
      </c>
      <c r="AF131" s="69">
        <f t="shared" si="33"/>
        <v>4966.896000000001</v>
      </c>
      <c r="AG131" s="2"/>
      <c r="AH131" s="17"/>
      <c r="AI131" s="2"/>
      <c r="AJ131" s="2"/>
    </row>
    <row r="132" spans="1:36" ht="12.75">
      <c r="A132" s="6">
        <f t="shared" si="34"/>
        <v>122</v>
      </c>
      <c r="B132" s="6">
        <f t="shared" si="35"/>
        <v>73</v>
      </c>
      <c r="C132" s="3" t="s">
        <v>120</v>
      </c>
      <c r="D132" s="43">
        <v>2514.3</v>
      </c>
      <c r="E132" s="7">
        <f t="shared" si="37"/>
        <v>3.83</v>
      </c>
      <c r="F132" s="7">
        <f t="shared" si="38"/>
        <v>3.83</v>
      </c>
      <c r="G132" s="69">
        <f t="shared" si="39"/>
        <v>115557.228</v>
      </c>
      <c r="H132" s="6">
        <v>0.4</v>
      </c>
      <c r="I132" s="69">
        <f t="shared" si="23"/>
        <v>12068.640000000001</v>
      </c>
      <c r="J132" s="6">
        <v>0.31</v>
      </c>
      <c r="K132" s="69">
        <f t="shared" si="24"/>
        <v>9353.196000000002</v>
      </c>
      <c r="L132" s="6">
        <v>0.54</v>
      </c>
      <c r="M132" s="69">
        <f t="shared" si="25"/>
        <v>16292.664000000002</v>
      </c>
      <c r="N132" s="6">
        <v>0.1</v>
      </c>
      <c r="O132" s="69">
        <f t="shared" si="26"/>
        <v>3017.1600000000003</v>
      </c>
      <c r="P132" s="6">
        <v>0.17</v>
      </c>
      <c r="Q132" s="69">
        <f t="shared" si="27"/>
        <v>5129.1720000000005</v>
      </c>
      <c r="R132" s="7">
        <v>0.36</v>
      </c>
      <c r="S132" s="69">
        <f t="shared" si="28"/>
        <v>10861.776</v>
      </c>
      <c r="T132" s="7">
        <v>0.2</v>
      </c>
      <c r="U132" s="69">
        <f t="shared" si="29"/>
        <v>6034.320000000001</v>
      </c>
      <c r="V132" s="6">
        <f t="shared" si="36"/>
        <v>73</v>
      </c>
      <c r="W132" s="3" t="s">
        <v>120</v>
      </c>
      <c r="X132" s="43">
        <v>2514.3</v>
      </c>
      <c r="Y132" s="6">
        <v>0.6</v>
      </c>
      <c r="Z132" s="69">
        <f t="shared" si="30"/>
        <v>18102.960000000003</v>
      </c>
      <c r="AA132" s="2">
        <v>0.7</v>
      </c>
      <c r="AB132" s="69">
        <f t="shared" si="31"/>
        <v>21120.12</v>
      </c>
      <c r="AC132" s="7">
        <v>0.25</v>
      </c>
      <c r="AD132" s="69">
        <f t="shared" si="32"/>
        <v>7542.900000000001</v>
      </c>
      <c r="AE132" s="6">
        <v>0.2</v>
      </c>
      <c r="AF132" s="69">
        <f t="shared" si="33"/>
        <v>6034.320000000001</v>
      </c>
      <c r="AG132" s="2"/>
      <c r="AH132" s="17"/>
      <c r="AI132" s="2"/>
      <c r="AJ132" s="2"/>
    </row>
    <row r="133" spans="1:36" ht="12.75">
      <c r="A133" s="6">
        <f t="shared" si="34"/>
        <v>123</v>
      </c>
      <c r="B133" s="6">
        <f t="shared" si="35"/>
        <v>74</v>
      </c>
      <c r="C133" s="3" t="s">
        <v>121</v>
      </c>
      <c r="D133" s="43">
        <v>1997.3</v>
      </c>
      <c r="E133" s="7">
        <f t="shared" si="37"/>
        <v>3.83</v>
      </c>
      <c r="F133" s="7">
        <f t="shared" si="38"/>
        <v>3.83</v>
      </c>
      <c r="G133" s="69">
        <f t="shared" si="39"/>
        <v>91795.908</v>
      </c>
      <c r="H133" s="6">
        <v>0.4</v>
      </c>
      <c r="I133" s="69">
        <f t="shared" si="23"/>
        <v>9587.04</v>
      </c>
      <c r="J133" s="6">
        <v>0.31</v>
      </c>
      <c r="K133" s="69">
        <f t="shared" si="24"/>
        <v>7429.956</v>
      </c>
      <c r="L133" s="6">
        <v>0.54</v>
      </c>
      <c r="M133" s="69">
        <f t="shared" si="25"/>
        <v>12942.504</v>
      </c>
      <c r="N133" s="6">
        <v>0.1</v>
      </c>
      <c r="O133" s="69">
        <f t="shared" si="26"/>
        <v>2396.76</v>
      </c>
      <c r="P133" s="6">
        <v>0.17</v>
      </c>
      <c r="Q133" s="69">
        <f t="shared" si="27"/>
        <v>4074.492</v>
      </c>
      <c r="R133" s="7">
        <v>0.36</v>
      </c>
      <c r="S133" s="69">
        <f t="shared" si="28"/>
        <v>8628.336</v>
      </c>
      <c r="T133" s="7">
        <v>0.2</v>
      </c>
      <c r="U133" s="69">
        <f t="shared" si="29"/>
        <v>4793.52</v>
      </c>
      <c r="V133" s="6">
        <f t="shared" si="36"/>
        <v>74</v>
      </c>
      <c r="W133" s="3" t="s">
        <v>121</v>
      </c>
      <c r="X133" s="43">
        <v>1997.3</v>
      </c>
      <c r="Y133" s="6">
        <v>0.6</v>
      </c>
      <c r="Z133" s="69">
        <f t="shared" si="30"/>
        <v>14380.559999999998</v>
      </c>
      <c r="AA133" s="2">
        <v>0.7</v>
      </c>
      <c r="AB133" s="69">
        <f t="shared" si="31"/>
        <v>16777.32</v>
      </c>
      <c r="AC133" s="7">
        <v>0.25</v>
      </c>
      <c r="AD133" s="69">
        <f t="shared" si="32"/>
        <v>5991.9</v>
      </c>
      <c r="AE133" s="6">
        <v>0.2</v>
      </c>
      <c r="AF133" s="69">
        <f t="shared" si="33"/>
        <v>4793.52</v>
      </c>
      <c r="AG133" s="2"/>
      <c r="AH133" s="17"/>
      <c r="AI133" s="2"/>
      <c r="AJ133" s="2"/>
    </row>
    <row r="134" spans="1:36" ht="12.75">
      <c r="A134" s="6">
        <f t="shared" si="34"/>
        <v>124</v>
      </c>
      <c r="B134" s="6">
        <f t="shared" si="35"/>
        <v>75</v>
      </c>
      <c r="C134" s="3" t="s">
        <v>122</v>
      </c>
      <c r="D134" s="43">
        <v>2576.2</v>
      </c>
      <c r="E134" s="7">
        <f t="shared" si="37"/>
        <v>3.8400000000000007</v>
      </c>
      <c r="F134" s="7">
        <f t="shared" si="38"/>
        <v>3.8400000000000003</v>
      </c>
      <c r="G134" s="69">
        <f t="shared" si="39"/>
        <v>118711.296</v>
      </c>
      <c r="H134" s="6">
        <v>0.4</v>
      </c>
      <c r="I134" s="69">
        <f t="shared" si="23"/>
        <v>12365.76</v>
      </c>
      <c r="J134" s="6">
        <v>0.31</v>
      </c>
      <c r="K134" s="69">
        <f t="shared" si="24"/>
        <v>9583.464</v>
      </c>
      <c r="L134" s="6">
        <v>0.54</v>
      </c>
      <c r="M134" s="69">
        <f t="shared" si="25"/>
        <v>16693.775999999998</v>
      </c>
      <c r="N134" s="6">
        <v>0.1</v>
      </c>
      <c r="O134" s="69">
        <f t="shared" si="26"/>
        <v>3091.44</v>
      </c>
      <c r="P134" s="6">
        <v>0.18</v>
      </c>
      <c r="Q134" s="69">
        <f t="shared" si="27"/>
        <v>5564.592</v>
      </c>
      <c r="R134" s="7">
        <v>0.36</v>
      </c>
      <c r="S134" s="69">
        <f t="shared" si="28"/>
        <v>11129.184</v>
      </c>
      <c r="T134" s="7">
        <v>0.2</v>
      </c>
      <c r="U134" s="69">
        <f t="shared" si="29"/>
        <v>6182.88</v>
      </c>
      <c r="V134" s="6">
        <f t="shared" si="36"/>
        <v>75</v>
      </c>
      <c r="W134" s="3" t="s">
        <v>122</v>
      </c>
      <c r="X134" s="43">
        <v>2576.2</v>
      </c>
      <c r="Y134" s="6">
        <v>0.6</v>
      </c>
      <c r="Z134" s="69">
        <f t="shared" si="30"/>
        <v>18548.64</v>
      </c>
      <c r="AA134" s="2">
        <v>0.7</v>
      </c>
      <c r="AB134" s="69">
        <f t="shared" si="31"/>
        <v>21640.079999999994</v>
      </c>
      <c r="AC134" s="7">
        <v>0.25</v>
      </c>
      <c r="AD134" s="69">
        <f t="shared" si="32"/>
        <v>7728.599999999999</v>
      </c>
      <c r="AE134" s="6">
        <v>0.2</v>
      </c>
      <c r="AF134" s="69">
        <f t="shared" si="33"/>
        <v>6182.88</v>
      </c>
      <c r="AG134" s="2"/>
      <c r="AH134" s="17"/>
      <c r="AI134" s="2"/>
      <c r="AJ134" s="2"/>
    </row>
    <row r="135" spans="1:36" ht="12.75">
      <c r="A135" s="6">
        <f t="shared" si="34"/>
        <v>125</v>
      </c>
      <c r="B135" s="6">
        <f t="shared" si="35"/>
        <v>76</v>
      </c>
      <c r="C135" s="3" t="s">
        <v>235</v>
      </c>
      <c r="D135" s="43">
        <v>1713.4</v>
      </c>
      <c r="E135" s="7">
        <f t="shared" si="37"/>
        <v>3.2499999999999996</v>
      </c>
      <c r="F135" s="7">
        <f t="shared" si="38"/>
        <v>3.25</v>
      </c>
      <c r="G135" s="69">
        <f t="shared" si="39"/>
        <v>66822.6</v>
      </c>
      <c r="H135" s="6">
        <v>0.32</v>
      </c>
      <c r="I135" s="69">
        <f t="shared" si="23"/>
        <v>6579.456</v>
      </c>
      <c r="J135" s="6">
        <v>0.32</v>
      </c>
      <c r="K135" s="69">
        <f t="shared" si="24"/>
        <v>6579.456</v>
      </c>
      <c r="L135" s="6">
        <v>0.37</v>
      </c>
      <c r="M135" s="69">
        <f t="shared" si="25"/>
        <v>7607.495999999999</v>
      </c>
      <c r="N135" s="6">
        <v>0.15</v>
      </c>
      <c r="O135" s="69">
        <f t="shared" si="26"/>
        <v>3084.12</v>
      </c>
      <c r="P135" s="6">
        <v>0.3</v>
      </c>
      <c r="Q135" s="69">
        <f t="shared" si="27"/>
        <v>6168.24</v>
      </c>
      <c r="R135" s="7">
        <v>0.36</v>
      </c>
      <c r="S135" s="69">
        <f t="shared" si="28"/>
        <v>7401.887999999999</v>
      </c>
      <c r="T135" s="7">
        <v>0.11</v>
      </c>
      <c r="U135" s="69">
        <f t="shared" si="29"/>
        <v>2261.688</v>
      </c>
      <c r="V135" s="6">
        <f t="shared" si="36"/>
        <v>76</v>
      </c>
      <c r="W135" s="3" t="s">
        <v>235</v>
      </c>
      <c r="X135" s="43">
        <v>1713.4</v>
      </c>
      <c r="Y135" s="6">
        <f>0.2+0.15+0.15+0.12</f>
        <v>0.62</v>
      </c>
      <c r="Z135" s="69">
        <f t="shared" si="30"/>
        <v>12747.696</v>
      </c>
      <c r="AA135" s="21">
        <f>0.42</f>
        <v>0.42</v>
      </c>
      <c r="AB135" s="69">
        <f t="shared" si="31"/>
        <v>8635.536</v>
      </c>
      <c r="AC135" s="7">
        <v>0.17</v>
      </c>
      <c r="AD135" s="69">
        <f t="shared" si="32"/>
        <v>3495.3360000000002</v>
      </c>
      <c r="AE135" s="6">
        <v>0.11</v>
      </c>
      <c r="AF135" s="69">
        <f t="shared" si="33"/>
        <v>2261.688</v>
      </c>
      <c r="AG135" s="2"/>
      <c r="AH135" s="17"/>
      <c r="AI135" s="2"/>
      <c r="AJ135" s="2"/>
    </row>
    <row r="136" spans="1:36" ht="12.75">
      <c r="A136" s="6">
        <f t="shared" si="34"/>
        <v>126</v>
      </c>
      <c r="B136" s="6">
        <f t="shared" si="35"/>
        <v>77</v>
      </c>
      <c r="C136" s="3" t="s">
        <v>276</v>
      </c>
      <c r="D136" s="168">
        <v>1466</v>
      </c>
      <c r="E136" s="7">
        <f>H136+J136+L136+N136+P136+R136+T136+Y136+AA136+AC136+AE136</f>
        <v>4.000000000000001</v>
      </c>
      <c r="F136" s="7">
        <f t="shared" si="38"/>
        <v>4</v>
      </c>
      <c r="G136" s="69">
        <f t="shared" si="39"/>
        <v>70368</v>
      </c>
      <c r="H136" s="6">
        <v>0.5</v>
      </c>
      <c r="I136" s="69">
        <f t="shared" si="23"/>
        <v>8796</v>
      </c>
      <c r="J136" s="6">
        <v>0.3</v>
      </c>
      <c r="K136" s="69">
        <f t="shared" si="24"/>
        <v>5277.6</v>
      </c>
      <c r="L136" s="6">
        <v>0.54</v>
      </c>
      <c r="M136" s="69">
        <f t="shared" si="25"/>
        <v>9499.68</v>
      </c>
      <c r="N136" s="6">
        <v>0.2</v>
      </c>
      <c r="O136" s="69">
        <f t="shared" si="26"/>
        <v>3518.3999999999996</v>
      </c>
      <c r="P136" s="6">
        <v>0.2</v>
      </c>
      <c r="Q136" s="69">
        <f t="shared" si="27"/>
        <v>3518.3999999999996</v>
      </c>
      <c r="R136" s="7">
        <v>0.36</v>
      </c>
      <c r="S136" s="69">
        <f t="shared" si="28"/>
        <v>6333.12</v>
      </c>
      <c r="T136" s="7">
        <v>0.2</v>
      </c>
      <c r="U136" s="69">
        <f t="shared" si="29"/>
        <v>3518.3999999999996</v>
      </c>
      <c r="V136" s="6">
        <f t="shared" si="36"/>
        <v>77</v>
      </c>
      <c r="W136" s="3" t="s">
        <v>276</v>
      </c>
      <c r="X136" s="168">
        <v>1466</v>
      </c>
      <c r="Y136" s="6">
        <v>0.6</v>
      </c>
      <c r="Z136" s="69">
        <f t="shared" si="30"/>
        <v>10555.2</v>
      </c>
      <c r="AA136" s="2">
        <v>0.7</v>
      </c>
      <c r="AB136" s="69">
        <f t="shared" si="31"/>
        <v>12314.400000000001</v>
      </c>
      <c r="AC136" s="7">
        <v>0.2</v>
      </c>
      <c r="AD136" s="69">
        <f t="shared" si="32"/>
        <v>3518.3999999999996</v>
      </c>
      <c r="AE136" s="6">
        <v>0.2</v>
      </c>
      <c r="AF136" s="69">
        <f t="shared" si="33"/>
        <v>3518.3999999999996</v>
      </c>
      <c r="AG136" s="2"/>
      <c r="AH136" s="17"/>
      <c r="AI136" s="2"/>
      <c r="AJ136" s="2"/>
    </row>
    <row r="137" spans="1:36" ht="12.75">
      <c r="A137" s="6">
        <f t="shared" si="34"/>
        <v>127</v>
      </c>
      <c r="B137" s="6">
        <f t="shared" si="35"/>
        <v>78</v>
      </c>
      <c r="C137" s="3" t="s">
        <v>227</v>
      </c>
      <c r="D137" s="43">
        <v>1709.4</v>
      </c>
      <c r="E137" s="7">
        <f t="shared" si="37"/>
        <v>4.000000000000001</v>
      </c>
      <c r="F137" s="7">
        <f t="shared" si="38"/>
        <v>4.000000000000001</v>
      </c>
      <c r="G137" s="69">
        <f t="shared" si="39"/>
        <v>82051.20000000001</v>
      </c>
      <c r="H137" s="6">
        <v>0.5</v>
      </c>
      <c r="I137" s="69">
        <f aca="true" t="shared" si="40" ref="I137:I143">H137*D137*12</f>
        <v>10256.400000000001</v>
      </c>
      <c r="J137" s="6">
        <v>0.3</v>
      </c>
      <c r="K137" s="69">
        <f aca="true" t="shared" si="41" ref="K137:K142">J137*D137*12</f>
        <v>6153.84</v>
      </c>
      <c r="L137" s="6">
        <v>0.54</v>
      </c>
      <c r="M137" s="69">
        <f aca="true" t="shared" si="42" ref="M137:M143">D137*L137*12</f>
        <v>11076.912000000002</v>
      </c>
      <c r="N137" s="6">
        <v>0.2</v>
      </c>
      <c r="O137" s="69">
        <f aca="true" t="shared" si="43" ref="O137:O143">N137*D137*12</f>
        <v>4102.56</v>
      </c>
      <c r="P137" s="6">
        <v>0.2</v>
      </c>
      <c r="Q137" s="69">
        <f aca="true" t="shared" si="44" ref="Q137:Q143">P137*D137*12</f>
        <v>4102.56</v>
      </c>
      <c r="R137" s="7">
        <v>0.36</v>
      </c>
      <c r="S137" s="69">
        <f aca="true" t="shared" si="45" ref="S137:S143">R137*D137*12</f>
        <v>7384.608</v>
      </c>
      <c r="T137" s="7">
        <v>0.2</v>
      </c>
      <c r="U137" s="69">
        <f aca="true" t="shared" si="46" ref="U137:U200">T137*D137*12</f>
        <v>4102.56</v>
      </c>
      <c r="V137" s="6">
        <f t="shared" si="36"/>
        <v>78</v>
      </c>
      <c r="W137" s="3" t="s">
        <v>227</v>
      </c>
      <c r="X137" s="43">
        <v>1709.4</v>
      </c>
      <c r="Y137" s="6">
        <v>0.6</v>
      </c>
      <c r="Z137" s="69">
        <f aca="true" t="shared" si="47" ref="Z137:Z143">Y137*D137*12</f>
        <v>12307.68</v>
      </c>
      <c r="AA137" s="2">
        <v>0.7</v>
      </c>
      <c r="AB137" s="69">
        <f aca="true" t="shared" si="48" ref="AB137:AB143">AA137*D137*12</f>
        <v>14358.96</v>
      </c>
      <c r="AC137" s="7">
        <v>0.2</v>
      </c>
      <c r="AD137" s="69">
        <f aca="true" t="shared" si="49" ref="AD137:AD143">AC137*D137*12</f>
        <v>4102.56</v>
      </c>
      <c r="AE137" s="6">
        <v>0.2</v>
      </c>
      <c r="AF137" s="69">
        <f aca="true" t="shared" si="50" ref="AF137:AF200">AE137*D137*12</f>
        <v>4102.56</v>
      </c>
      <c r="AG137" s="2"/>
      <c r="AH137" s="17"/>
      <c r="AI137" s="2"/>
      <c r="AJ137" s="2"/>
    </row>
    <row r="138" spans="1:36" ht="12.75">
      <c r="A138" s="6">
        <f t="shared" si="34"/>
        <v>128</v>
      </c>
      <c r="B138" s="6">
        <f t="shared" si="35"/>
        <v>79</v>
      </c>
      <c r="C138" s="3" t="s">
        <v>228</v>
      </c>
      <c r="D138" s="43">
        <v>2385.7</v>
      </c>
      <c r="E138" s="7">
        <f t="shared" si="37"/>
        <v>4.000000000000001</v>
      </c>
      <c r="F138" s="7">
        <f t="shared" si="38"/>
        <v>4.000000000000001</v>
      </c>
      <c r="G138" s="69">
        <f t="shared" si="39"/>
        <v>114513.6</v>
      </c>
      <c r="H138" s="6">
        <v>0.5</v>
      </c>
      <c r="I138" s="69">
        <f t="shared" si="40"/>
        <v>14314.199999999999</v>
      </c>
      <c r="J138" s="6">
        <v>0.3</v>
      </c>
      <c r="K138" s="69">
        <f t="shared" si="41"/>
        <v>8588.519999999999</v>
      </c>
      <c r="L138" s="6">
        <v>0.54</v>
      </c>
      <c r="M138" s="69">
        <f t="shared" si="42"/>
        <v>15459.336</v>
      </c>
      <c r="N138" s="6">
        <v>0.2</v>
      </c>
      <c r="O138" s="69">
        <f t="shared" si="43"/>
        <v>5725.68</v>
      </c>
      <c r="P138" s="6">
        <v>0.2</v>
      </c>
      <c r="Q138" s="69">
        <f t="shared" si="44"/>
        <v>5725.68</v>
      </c>
      <c r="R138" s="7">
        <v>0.36</v>
      </c>
      <c r="S138" s="69">
        <f t="shared" si="45"/>
        <v>10306.223999999998</v>
      </c>
      <c r="T138" s="7">
        <v>0.2</v>
      </c>
      <c r="U138" s="69">
        <f t="shared" si="46"/>
        <v>5725.68</v>
      </c>
      <c r="V138" s="6">
        <f t="shared" si="36"/>
        <v>79</v>
      </c>
      <c r="W138" s="3" t="s">
        <v>228</v>
      </c>
      <c r="X138" s="43">
        <v>2385.7</v>
      </c>
      <c r="Y138" s="6">
        <v>0.6</v>
      </c>
      <c r="Z138" s="69">
        <f t="shared" si="47"/>
        <v>17177.039999999997</v>
      </c>
      <c r="AA138" s="2">
        <v>0.7</v>
      </c>
      <c r="AB138" s="69">
        <f t="shared" si="48"/>
        <v>20039.879999999997</v>
      </c>
      <c r="AC138" s="7">
        <v>0.2</v>
      </c>
      <c r="AD138" s="69">
        <f t="shared" si="49"/>
        <v>5725.68</v>
      </c>
      <c r="AE138" s="6">
        <v>0.2</v>
      </c>
      <c r="AF138" s="69">
        <f t="shared" si="50"/>
        <v>5725.68</v>
      </c>
      <c r="AG138" s="2"/>
      <c r="AH138" s="17"/>
      <c r="AI138" s="2"/>
      <c r="AJ138" s="2"/>
    </row>
    <row r="139" spans="1:36" ht="12.75">
      <c r="A139" s="6">
        <f t="shared" si="34"/>
        <v>129</v>
      </c>
      <c r="B139" s="6">
        <f t="shared" si="35"/>
        <v>80</v>
      </c>
      <c r="C139" s="3" t="s">
        <v>214</v>
      </c>
      <c r="D139" s="80">
        <v>2017.1</v>
      </c>
      <c r="E139" s="7">
        <f t="shared" si="37"/>
        <v>3.99</v>
      </c>
      <c r="F139" s="7">
        <f t="shared" si="38"/>
        <v>3.9899999999999998</v>
      </c>
      <c r="G139" s="69">
        <f t="shared" si="39"/>
        <v>96578.74799999999</v>
      </c>
      <c r="H139" s="6">
        <v>0.45</v>
      </c>
      <c r="I139" s="69">
        <f t="shared" si="40"/>
        <v>10892.34</v>
      </c>
      <c r="J139" s="6">
        <v>0.37</v>
      </c>
      <c r="K139" s="69">
        <f t="shared" si="41"/>
        <v>8955.923999999999</v>
      </c>
      <c r="L139" s="6">
        <v>0.54</v>
      </c>
      <c r="M139" s="69">
        <f t="shared" si="42"/>
        <v>13070.807999999999</v>
      </c>
      <c r="N139" s="6">
        <v>0.17</v>
      </c>
      <c r="O139" s="69">
        <f t="shared" si="43"/>
        <v>4114.884</v>
      </c>
      <c r="P139" s="6">
        <v>0.2</v>
      </c>
      <c r="Q139" s="69">
        <f t="shared" si="44"/>
        <v>4841.04</v>
      </c>
      <c r="R139" s="7">
        <v>0.36</v>
      </c>
      <c r="S139" s="69">
        <f t="shared" si="45"/>
        <v>8713.872</v>
      </c>
      <c r="T139" s="7">
        <v>0.2</v>
      </c>
      <c r="U139" s="69">
        <f t="shared" si="46"/>
        <v>4841.04</v>
      </c>
      <c r="V139" s="6">
        <f t="shared" si="36"/>
        <v>80</v>
      </c>
      <c r="W139" s="3" t="s">
        <v>214</v>
      </c>
      <c r="X139" s="80">
        <v>2017.1</v>
      </c>
      <c r="Y139" s="6">
        <v>0.6</v>
      </c>
      <c r="Z139" s="69">
        <f t="shared" si="47"/>
        <v>14523.119999999999</v>
      </c>
      <c r="AA139" s="2">
        <v>0.7</v>
      </c>
      <c r="AB139" s="69">
        <f t="shared" si="48"/>
        <v>16943.64</v>
      </c>
      <c r="AC139" s="7">
        <v>0.2</v>
      </c>
      <c r="AD139" s="69">
        <f t="shared" si="49"/>
        <v>4841.04</v>
      </c>
      <c r="AE139" s="6">
        <v>0.2</v>
      </c>
      <c r="AF139" s="69">
        <f t="shared" si="50"/>
        <v>4841.04</v>
      </c>
      <c r="AG139" s="2"/>
      <c r="AH139" s="17"/>
      <c r="AI139" s="2"/>
      <c r="AJ139" s="2"/>
    </row>
    <row r="140" spans="1:36" ht="12.75">
      <c r="A140" s="6">
        <f t="shared" si="34"/>
        <v>130</v>
      </c>
      <c r="B140" s="6">
        <f t="shared" si="35"/>
        <v>81</v>
      </c>
      <c r="C140" s="3" t="s">
        <v>215</v>
      </c>
      <c r="D140" s="168">
        <v>2061.6</v>
      </c>
      <c r="E140" s="7">
        <f t="shared" si="37"/>
        <v>3.8400000000000007</v>
      </c>
      <c r="F140" s="7">
        <f t="shared" si="38"/>
        <v>3.84</v>
      </c>
      <c r="G140" s="69">
        <f t="shared" si="39"/>
        <v>94998.52799999999</v>
      </c>
      <c r="H140" s="6">
        <v>0.45</v>
      </c>
      <c r="I140" s="69">
        <f t="shared" si="40"/>
        <v>11132.64</v>
      </c>
      <c r="J140" s="6">
        <v>0.31</v>
      </c>
      <c r="K140" s="69">
        <f t="shared" si="41"/>
        <v>7669.152</v>
      </c>
      <c r="L140" s="6">
        <v>0.54</v>
      </c>
      <c r="M140" s="69">
        <f t="shared" si="42"/>
        <v>13359.168000000001</v>
      </c>
      <c r="N140" s="6">
        <v>0.11</v>
      </c>
      <c r="O140" s="69">
        <f t="shared" si="43"/>
        <v>2721.312</v>
      </c>
      <c r="P140" s="6">
        <v>0.17</v>
      </c>
      <c r="Q140" s="69">
        <f t="shared" si="44"/>
        <v>4205.664000000001</v>
      </c>
      <c r="R140" s="7">
        <v>0.36</v>
      </c>
      <c r="S140" s="69">
        <f t="shared" si="45"/>
        <v>8906.112</v>
      </c>
      <c r="T140" s="7">
        <v>0.2</v>
      </c>
      <c r="U140" s="69">
        <f t="shared" si="46"/>
        <v>4947.84</v>
      </c>
      <c r="V140" s="6">
        <f t="shared" si="36"/>
        <v>81</v>
      </c>
      <c r="W140" s="3" t="s">
        <v>215</v>
      </c>
      <c r="X140" s="168">
        <v>2061.6</v>
      </c>
      <c r="Y140" s="6">
        <v>0.6</v>
      </c>
      <c r="Z140" s="69">
        <f t="shared" si="47"/>
        <v>14843.519999999997</v>
      </c>
      <c r="AA140" s="2">
        <v>0.7</v>
      </c>
      <c r="AB140" s="69">
        <f t="shared" si="48"/>
        <v>17317.44</v>
      </c>
      <c r="AC140" s="7">
        <v>0.2</v>
      </c>
      <c r="AD140" s="69">
        <f t="shared" si="49"/>
        <v>4947.84</v>
      </c>
      <c r="AE140" s="6">
        <v>0.2</v>
      </c>
      <c r="AF140" s="69">
        <f t="shared" si="50"/>
        <v>4947.84</v>
      </c>
      <c r="AG140" s="2"/>
      <c r="AH140" s="17"/>
      <c r="AI140" s="2"/>
      <c r="AJ140" s="2"/>
    </row>
    <row r="141" spans="1:36" ht="12.75">
      <c r="A141" s="6">
        <f t="shared" si="34"/>
        <v>131</v>
      </c>
      <c r="B141" s="6">
        <f t="shared" si="35"/>
        <v>82</v>
      </c>
      <c r="C141" s="3" t="s">
        <v>129</v>
      </c>
      <c r="D141" s="80">
        <v>2039.1</v>
      </c>
      <c r="E141" s="7">
        <f t="shared" si="37"/>
        <v>3.790000000000001</v>
      </c>
      <c r="F141" s="7">
        <f t="shared" si="38"/>
        <v>3.789999999999999</v>
      </c>
      <c r="G141" s="69">
        <f t="shared" si="39"/>
        <v>92738.26799999998</v>
      </c>
      <c r="H141" s="6">
        <v>0.5</v>
      </c>
      <c r="I141" s="69">
        <f t="shared" si="40"/>
        <v>12234.599999999999</v>
      </c>
      <c r="J141" s="6">
        <v>0.3</v>
      </c>
      <c r="K141" s="69">
        <f t="shared" si="41"/>
        <v>7340.759999999998</v>
      </c>
      <c r="L141" s="6">
        <v>0.44</v>
      </c>
      <c r="M141" s="69">
        <f t="shared" si="42"/>
        <v>10766.448</v>
      </c>
      <c r="N141" s="6">
        <v>0.11</v>
      </c>
      <c r="O141" s="69">
        <f t="shared" si="43"/>
        <v>2691.612</v>
      </c>
      <c r="P141" s="6">
        <v>0.18</v>
      </c>
      <c r="Q141" s="69">
        <f t="shared" si="44"/>
        <v>4404.455999999999</v>
      </c>
      <c r="R141" s="7">
        <v>0.36</v>
      </c>
      <c r="S141" s="69">
        <f t="shared" si="45"/>
        <v>8808.911999999998</v>
      </c>
      <c r="T141" s="7">
        <v>0.2</v>
      </c>
      <c r="U141" s="69">
        <f t="shared" si="46"/>
        <v>4893.84</v>
      </c>
      <c r="V141" s="6">
        <f t="shared" si="36"/>
        <v>82</v>
      </c>
      <c r="W141" s="3" t="s">
        <v>129</v>
      </c>
      <c r="X141" s="80">
        <v>2039.1</v>
      </c>
      <c r="Y141" s="6">
        <v>0.6</v>
      </c>
      <c r="Z141" s="69">
        <f t="shared" si="47"/>
        <v>14681.519999999997</v>
      </c>
      <c r="AA141" s="2">
        <v>0.7</v>
      </c>
      <c r="AB141" s="69">
        <f t="shared" si="48"/>
        <v>17128.44</v>
      </c>
      <c r="AC141" s="7">
        <v>0.2</v>
      </c>
      <c r="AD141" s="69">
        <f t="shared" si="49"/>
        <v>4893.84</v>
      </c>
      <c r="AE141" s="6">
        <v>0.2</v>
      </c>
      <c r="AF141" s="69">
        <f t="shared" si="50"/>
        <v>4893.84</v>
      </c>
      <c r="AG141" s="2"/>
      <c r="AH141" s="17"/>
      <c r="AI141" s="2"/>
      <c r="AJ141" s="2"/>
    </row>
    <row r="142" spans="1:36" ht="12.75">
      <c r="A142" s="6">
        <f t="shared" si="34"/>
        <v>132</v>
      </c>
      <c r="B142" s="6">
        <f t="shared" si="35"/>
        <v>83</v>
      </c>
      <c r="C142" s="3" t="s">
        <v>190</v>
      </c>
      <c r="D142" s="80">
        <v>1306.1</v>
      </c>
      <c r="E142" s="7">
        <f t="shared" si="37"/>
        <v>3.1999999999999997</v>
      </c>
      <c r="F142" s="7">
        <f t="shared" si="38"/>
        <v>3.1999999999999997</v>
      </c>
      <c r="G142" s="69">
        <f t="shared" si="39"/>
        <v>50154.23999999999</v>
      </c>
      <c r="H142" s="6">
        <v>0.3</v>
      </c>
      <c r="I142" s="69">
        <f t="shared" si="40"/>
        <v>4701.96</v>
      </c>
      <c r="J142" s="6">
        <v>0.3</v>
      </c>
      <c r="K142" s="69">
        <f t="shared" si="41"/>
        <v>4701.96</v>
      </c>
      <c r="L142" s="6">
        <v>0.4</v>
      </c>
      <c r="M142" s="69">
        <f t="shared" si="42"/>
        <v>6269.279999999999</v>
      </c>
      <c r="N142" s="6">
        <v>0.1</v>
      </c>
      <c r="O142" s="69">
        <f t="shared" si="43"/>
        <v>1567.3199999999997</v>
      </c>
      <c r="P142" s="6">
        <v>0.25</v>
      </c>
      <c r="Q142" s="69">
        <f t="shared" si="44"/>
        <v>3918.2999999999997</v>
      </c>
      <c r="R142" s="7">
        <v>0.36</v>
      </c>
      <c r="S142" s="69">
        <f t="shared" si="45"/>
        <v>5642.352</v>
      </c>
      <c r="T142" s="7">
        <v>0.11</v>
      </c>
      <c r="U142" s="69">
        <f t="shared" si="46"/>
        <v>1724.052</v>
      </c>
      <c r="V142" s="6">
        <f t="shared" si="36"/>
        <v>83</v>
      </c>
      <c r="W142" s="3" t="s">
        <v>190</v>
      </c>
      <c r="X142" s="80">
        <v>1306.1</v>
      </c>
      <c r="Y142" s="6">
        <f>0.2+0.15+0.15+0.19</f>
        <v>0.69</v>
      </c>
      <c r="Z142" s="69">
        <f t="shared" si="47"/>
        <v>10814.507999999998</v>
      </c>
      <c r="AA142" s="21">
        <f>0.1+0.2+0.1</f>
        <v>0.4</v>
      </c>
      <c r="AB142" s="69">
        <f t="shared" si="48"/>
        <v>6269.279999999999</v>
      </c>
      <c r="AC142" s="7">
        <v>0.18</v>
      </c>
      <c r="AD142" s="69">
        <f t="shared" si="49"/>
        <v>2821.176</v>
      </c>
      <c r="AE142" s="6">
        <v>0.11</v>
      </c>
      <c r="AF142" s="69">
        <f t="shared" si="50"/>
        <v>1724.052</v>
      </c>
      <c r="AG142" s="2"/>
      <c r="AH142" s="17"/>
      <c r="AI142" s="2"/>
      <c r="AJ142" s="2"/>
    </row>
    <row r="143" spans="1:36" ht="12.75">
      <c r="A143" s="6">
        <f t="shared" si="34"/>
        <v>133</v>
      </c>
      <c r="B143" s="6">
        <f t="shared" si="35"/>
        <v>84</v>
      </c>
      <c r="C143" s="3" t="s">
        <v>30</v>
      </c>
      <c r="D143" s="80">
        <v>4282.7</v>
      </c>
      <c r="E143" s="7">
        <f>H143+J143+L143+N143+P143+R143+T143+Y143+AA143+AC143+AE143</f>
        <v>3.2400000000000007</v>
      </c>
      <c r="F143" s="7">
        <f t="shared" si="38"/>
        <v>3.24</v>
      </c>
      <c r="G143" s="69">
        <f t="shared" si="39"/>
        <v>166511.376</v>
      </c>
      <c r="H143" s="6">
        <v>0.32</v>
      </c>
      <c r="I143" s="69">
        <f t="shared" si="40"/>
        <v>16445.568</v>
      </c>
      <c r="J143" s="6">
        <v>0.3</v>
      </c>
      <c r="K143" s="69">
        <f>J143*D143*12</f>
        <v>15417.72</v>
      </c>
      <c r="L143" s="6">
        <v>0.45</v>
      </c>
      <c r="M143" s="69">
        <f t="shared" si="42"/>
        <v>23126.579999999998</v>
      </c>
      <c r="N143" s="6">
        <v>0.1</v>
      </c>
      <c r="O143" s="69">
        <f t="shared" si="43"/>
        <v>5139.24</v>
      </c>
      <c r="P143" s="6">
        <v>0.3</v>
      </c>
      <c r="Q143" s="69">
        <f t="shared" si="44"/>
        <v>15417.72</v>
      </c>
      <c r="R143" s="7">
        <v>0.36</v>
      </c>
      <c r="S143" s="69">
        <f t="shared" si="45"/>
        <v>18501.264</v>
      </c>
      <c r="T143" s="7">
        <v>0.1</v>
      </c>
      <c r="U143" s="69">
        <f t="shared" si="46"/>
        <v>5139.24</v>
      </c>
      <c r="V143" s="6">
        <f t="shared" si="36"/>
        <v>84</v>
      </c>
      <c r="W143" s="3" t="s">
        <v>30</v>
      </c>
      <c r="X143" s="80">
        <v>4282.7</v>
      </c>
      <c r="Y143" s="6">
        <v>0.56</v>
      </c>
      <c r="Z143" s="69">
        <f t="shared" si="47"/>
        <v>28779.744000000006</v>
      </c>
      <c r="AA143" s="21">
        <v>0.39</v>
      </c>
      <c r="AB143" s="69">
        <f t="shared" si="48"/>
        <v>20043.036</v>
      </c>
      <c r="AC143" s="7">
        <v>0.26</v>
      </c>
      <c r="AD143" s="69">
        <f t="shared" si="49"/>
        <v>13362.024</v>
      </c>
      <c r="AE143" s="6">
        <v>0.1</v>
      </c>
      <c r="AF143" s="69">
        <f t="shared" si="50"/>
        <v>5139.24</v>
      </c>
      <c r="AG143" s="2"/>
      <c r="AH143" s="17"/>
      <c r="AI143" s="2"/>
      <c r="AJ143" s="2"/>
    </row>
    <row r="144" spans="1:36" s="45" customFormat="1" ht="12.75">
      <c r="A144" s="8"/>
      <c r="B144" s="24"/>
      <c r="C144" s="25" t="s">
        <v>68</v>
      </c>
      <c r="D144" s="175">
        <f>SUM(D145:D190)</f>
        <v>136958.51</v>
      </c>
      <c r="E144" s="32">
        <f>H144+J144+L144+N144+P144+R144+T144+Y144+AA144+AC144+AE144</f>
        <v>4.115978652221027</v>
      </c>
      <c r="F144" s="32">
        <f>G144/D144/12</f>
        <v>4.115978652221025</v>
      </c>
      <c r="G144" s="70">
        <f>SUM(G145:G190)</f>
        <v>6764619.640799998</v>
      </c>
      <c r="H144" s="32">
        <f>I144/D144/12</f>
        <v>0.8193650507734059</v>
      </c>
      <c r="I144" s="70">
        <f>SUM(I145:I190)</f>
        <v>1346628.1980000006</v>
      </c>
      <c r="J144" s="26">
        <f>K144/D144/12</f>
        <v>0.5981588402210275</v>
      </c>
      <c r="K144" s="70">
        <f>SUM(K145:K190)</f>
        <v>983075.3219999999</v>
      </c>
      <c r="L144" s="26">
        <f>M144/D144/12</f>
        <v>0.37763533277340694</v>
      </c>
      <c r="M144" s="70">
        <f>SUM(M145:M190)</f>
        <v>620644.4699999999</v>
      </c>
      <c r="N144" s="26">
        <f>O144/D144/12</f>
        <v>0.09713819170491854</v>
      </c>
      <c r="O144" s="70">
        <f>SUM(O145:O190)</f>
        <v>159646.82400000002</v>
      </c>
      <c r="P144" s="26">
        <f>Q144/D144/12</f>
        <v>0.33733916205718056</v>
      </c>
      <c r="Q144" s="70">
        <f>SUM(Q145:Q190)</f>
        <v>554417.6279999998</v>
      </c>
      <c r="R144" s="24">
        <f>S144/D144/12</f>
        <v>0.35999999999999993</v>
      </c>
      <c r="S144" s="70">
        <f>SUM(S145:S190)</f>
        <v>591660.7631999999</v>
      </c>
      <c r="T144" s="26">
        <f>U144/D144/12</f>
        <v>0.25134218384823254</v>
      </c>
      <c r="U144" s="70">
        <f>SUM(U145:U190)</f>
        <v>413081.412</v>
      </c>
      <c r="V144" s="24"/>
      <c r="W144" s="25" t="s">
        <v>68</v>
      </c>
      <c r="X144" s="175">
        <f>SUM(X145:X190)</f>
        <v>136958.51</v>
      </c>
      <c r="Y144" s="26">
        <f>Z144/D144/12</f>
        <v>0.43028209053968247</v>
      </c>
      <c r="Z144" s="70">
        <f>SUM(Z145:Z190)</f>
        <v>707169.5280000002</v>
      </c>
      <c r="AA144" s="26">
        <f>AB144/D144/12</f>
        <v>0.36389030444329445</v>
      </c>
      <c r="AB144" s="70">
        <f>SUM(AB145:AB190)</f>
        <v>598054.4868</v>
      </c>
      <c r="AC144" s="26">
        <f>AD144/D144/12</f>
        <v>0.23753605672257974</v>
      </c>
      <c r="AD144" s="70">
        <f>SUM(AD145:AD190)</f>
        <v>390391.0128000001</v>
      </c>
      <c r="AE144" s="26">
        <f>AF144/D144/12</f>
        <v>0.24329143913729787</v>
      </c>
      <c r="AF144" s="70">
        <f>SUM(AF145:AF190)</f>
        <v>399849.99600000004</v>
      </c>
      <c r="AG144" s="189">
        <f>AH144/D144/12</f>
        <v>0.005199895939288474</v>
      </c>
      <c r="AH144" s="70">
        <f>SUM(AH145:AH190)</f>
        <v>8546.039999999999</v>
      </c>
      <c r="AI144" s="24"/>
      <c r="AJ144" s="70"/>
    </row>
    <row r="145" spans="1:36" ht="12.75">
      <c r="A145" s="6">
        <f>A143+1</f>
        <v>134</v>
      </c>
      <c r="B145" s="6">
        <v>1</v>
      </c>
      <c r="C145" s="3" t="s">
        <v>224</v>
      </c>
      <c r="D145" s="43">
        <v>2644.2</v>
      </c>
      <c r="E145" s="7">
        <f aca="true" t="shared" si="51" ref="E145:E191">H145+J145+L145+N145+P145+R145+T145+Y145+AA145+AC145+AE145</f>
        <v>4.17</v>
      </c>
      <c r="F145" s="7">
        <f aca="true" t="shared" si="52" ref="F145:F190">G145/D145/12</f>
        <v>4.170000000000001</v>
      </c>
      <c r="G145" s="69">
        <f aca="true" t="shared" si="53" ref="G145:G190">I145+K145+M145+O145+Q145+S145+U145+Z145+AD145+AF145+AB145</f>
        <v>132315.768</v>
      </c>
      <c r="H145" s="6">
        <v>0.71</v>
      </c>
      <c r="I145" s="69">
        <f aca="true" t="shared" si="54" ref="I145:I190">H145*D145*12</f>
        <v>22528.584</v>
      </c>
      <c r="J145" s="6">
        <v>0.66</v>
      </c>
      <c r="K145" s="69">
        <f aca="true" t="shared" si="55" ref="K145:K190">J145*D145*12</f>
        <v>20942.064</v>
      </c>
      <c r="L145" s="6">
        <v>0.29</v>
      </c>
      <c r="M145" s="69">
        <f aca="true" t="shared" si="56" ref="M145:M190">D145*L145*12</f>
        <v>9201.815999999999</v>
      </c>
      <c r="N145" s="6">
        <v>0.01</v>
      </c>
      <c r="O145" s="69">
        <f aca="true" t="shared" si="57" ref="O145:O190">N145*D145*12</f>
        <v>317.304</v>
      </c>
      <c r="P145" s="6">
        <v>0.41</v>
      </c>
      <c r="Q145" s="69">
        <f aca="true" t="shared" si="58" ref="Q145:Q190">P145*D145*12</f>
        <v>13009.463999999998</v>
      </c>
      <c r="R145" s="7">
        <v>0.36</v>
      </c>
      <c r="S145" s="69">
        <f aca="true" t="shared" si="59" ref="S145:S190">R145*D145*12</f>
        <v>11422.944</v>
      </c>
      <c r="T145" s="21">
        <v>0.25</v>
      </c>
      <c r="U145" s="69">
        <f t="shared" si="46"/>
        <v>7932.599999999999</v>
      </c>
      <c r="V145" s="6">
        <v>1</v>
      </c>
      <c r="W145" s="3" t="s">
        <v>224</v>
      </c>
      <c r="X145" s="43">
        <v>2644.2</v>
      </c>
      <c r="Y145" s="6">
        <v>0.65</v>
      </c>
      <c r="Z145" s="69">
        <f aca="true" t="shared" si="60" ref="Z145:Z190">Y145*D145*12</f>
        <v>20624.760000000002</v>
      </c>
      <c r="AA145" s="21">
        <v>0.37</v>
      </c>
      <c r="AB145" s="69">
        <f aca="true" t="shared" si="61" ref="AB145:AB190">AA145*D145*12</f>
        <v>11740.248</v>
      </c>
      <c r="AC145" s="7">
        <v>0.21</v>
      </c>
      <c r="AD145" s="69">
        <f aca="true" t="shared" si="62" ref="AD145:AD190">AC145*D145*12</f>
        <v>6663.383999999999</v>
      </c>
      <c r="AE145" s="21">
        <v>0.25</v>
      </c>
      <c r="AF145" s="69">
        <f t="shared" si="50"/>
        <v>7932.599999999999</v>
      </c>
      <c r="AG145" s="2"/>
      <c r="AH145" s="17"/>
      <c r="AI145" s="2"/>
      <c r="AJ145" s="2"/>
    </row>
    <row r="146" spans="1:36" ht="12.75">
      <c r="A146" s="6">
        <f>A145+1</f>
        <v>135</v>
      </c>
      <c r="B146" s="6">
        <f>B145+1</f>
        <v>2</v>
      </c>
      <c r="C146" s="3" t="s">
        <v>69</v>
      </c>
      <c r="D146" s="80">
        <v>2139.1</v>
      </c>
      <c r="E146" s="7">
        <f t="shared" si="51"/>
        <v>3.9699999999999998</v>
      </c>
      <c r="F146" s="7">
        <f t="shared" si="52"/>
        <v>3.9700000000000006</v>
      </c>
      <c r="G146" s="69">
        <f t="shared" si="53"/>
        <v>101906.72400000002</v>
      </c>
      <c r="H146" s="6">
        <v>0.67</v>
      </c>
      <c r="I146" s="69">
        <f t="shared" si="54"/>
        <v>17198.364</v>
      </c>
      <c r="J146" s="6">
        <v>0.5</v>
      </c>
      <c r="K146" s="69">
        <f t="shared" si="55"/>
        <v>12834.599999999999</v>
      </c>
      <c r="L146" s="6">
        <v>0.32</v>
      </c>
      <c r="M146" s="69">
        <f t="shared" si="56"/>
        <v>8214.144</v>
      </c>
      <c r="N146" s="6">
        <v>0.2</v>
      </c>
      <c r="O146" s="69">
        <f t="shared" si="57"/>
        <v>5133.84</v>
      </c>
      <c r="P146" s="6">
        <v>0.44</v>
      </c>
      <c r="Q146" s="69">
        <f t="shared" si="58"/>
        <v>11294.448</v>
      </c>
      <c r="R146" s="7">
        <v>0.36</v>
      </c>
      <c r="S146" s="69">
        <f t="shared" si="59"/>
        <v>9240.911999999998</v>
      </c>
      <c r="T146" s="21">
        <v>0.2</v>
      </c>
      <c r="U146" s="69">
        <f t="shared" si="46"/>
        <v>5133.84</v>
      </c>
      <c r="V146" s="6">
        <f>V145+1</f>
        <v>2</v>
      </c>
      <c r="W146" s="3" t="s">
        <v>69</v>
      </c>
      <c r="X146" s="80">
        <v>2139.1</v>
      </c>
      <c r="Y146" s="6">
        <v>0.4</v>
      </c>
      <c r="Z146" s="69">
        <f t="shared" si="60"/>
        <v>10267.68</v>
      </c>
      <c r="AA146" s="21">
        <v>0.4</v>
      </c>
      <c r="AB146" s="69">
        <f t="shared" si="61"/>
        <v>10267.68</v>
      </c>
      <c r="AC146" s="7">
        <v>0.28</v>
      </c>
      <c r="AD146" s="69">
        <f t="shared" si="62"/>
        <v>7187.376</v>
      </c>
      <c r="AE146" s="21">
        <v>0.2</v>
      </c>
      <c r="AF146" s="69">
        <f t="shared" si="50"/>
        <v>5133.84</v>
      </c>
      <c r="AG146" s="2"/>
      <c r="AH146" s="17"/>
      <c r="AI146" s="2"/>
      <c r="AJ146" s="2"/>
    </row>
    <row r="147" spans="1:36" ht="12.75">
      <c r="A147" s="6">
        <f aca="true" t="shared" si="63" ref="A147:A153">A146+1</f>
        <v>136</v>
      </c>
      <c r="B147" s="6">
        <f aca="true" t="shared" si="64" ref="B147:B153">B146+1</f>
        <v>3</v>
      </c>
      <c r="C147" s="3" t="s">
        <v>70</v>
      </c>
      <c r="D147" s="168">
        <v>3534.8</v>
      </c>
      <c r="E147" s="7">
        <f t="shared" si="51"/>
        <v>3.329999999999999</v>
      </c>
      <c r="F147" s="7">
        <f t="shared" si="52"/>
        <v>3.33</v>
      </c>
      <c r="G147" s="69">
        <f t="shared" si="53"/>
        <v>141250.608</v>
      </c>
      <c r="H147" s="6">
        <v>0.67</v>
      </c>
      <c r="I147" s="69">
        <f t="shared" si="54"/>
        <v>28419.792</v>
      </c>
      <c r="J147" s="6">
        <v>0.28</v>
      </c>
      <c r="K147" s="69">
        <f t="shared" si="55"/>
        <v>11876.928000000002</v>
      </c>
      <c r="L147" s="6">
        <v>0.28</v>
      </c>
      <c r="M147" s="69">
        <f t="shared" si="56"/>
        <v>11876.928000000002</v>
      </c>
      <c r="N147" s="6">
        <v>0</v>
      </c>
      <c r="O147" s="69">
        <f t="shared" si="57"/>
        <v>0</v>
      </c>
      <c r="P147" s="6">
        <v>0.4</v>
      </c>
      <c r="Q147" s="69">
        <f t="shared" si="58"/>
        <v>16967.04</v>
      </c>
      <c r="R147" s="7">
        <v>0.36</v>
      </c>
      <c r="S147" s="69">
        <f t="shared" si="59"/>
        <v>15270.336</v>
      </c>
      <c r="T147" s="21">
        <v>0.24</v>
      </c>
      <c r="U147" s="69">
        <f t="shared" si="46"/>
        <v>10180.224</v>
      </c>
      <c r="V147" s="6">
        <f aca="true" t="shared" si="65" ref="V147:V153">V146+1</f>
        <v>3</v>
      </c>
      <c r="W147" s="3" t="s">
        <v>70</v>
      </c>
      <c r="X147" s="168">
        <v>3534.8</v>
      </c>
      <c r="Y147" s="6">
        <v>0.35</v>
      </c>
      <c r="Z147" s="69">
        <f t="shared" si="60"/>
        <v>14846.16</v>
      </c>
      <c r="AA147" s="21">
        <v>0.36</v>
      </c>
      <c r="AB147" s="69">
        <f t="shared" si="61"/>
        <v>15270.336</v>
      </c>
      <c r="AC147" s="7">
        <v>0.15</v>
      </c>
      <c r="AD147" s="69">
        <f t="shared" si="62"/>
        <v>6362.64</v>
      </c>
      <c r="AE147" s="21">
        <v>0.24</v>
      </c>
      <c r="AF147" s="69">
        <f t="shared" si="50"/>
        <v>10180.224</v>
      </c>
      <c r="AG147" s="2"/>
      <c r="AH147" s="17"/>
      <c r="AI147" s="2"/>
      <c r="AJ147" s="2"/>
    </row>
    <row r="148" spans="1:36" ht="12.75">
      <c r="A148" s="6">
        <f t="shared" si="63"/>
        <v>137</v>
      </c>
      <c r="B148" s="6">
        <f t="shared" si="64"/>
        <v>4</v>
      </c>
      <c r="C148" s="3" t="s">
        <v>71</v>
      </c>
      <c r="D148" s="168">
        <v>2706.4</v>
      </c>
      <c r="E148" s="7">
        <f t="shared" si="51"/>
        <v>3.81</v>
      </c>
      <c r="F148" s="7">
        <f t="shared" si="52"/>
        <v>3.81</v>
      </c>
      <c r="G148" s="69">
        <f t="shared" si="53"/>
        <v>123736.60800000001</v>
      </c>
      <c r="H148" s="6">
        <v>0.76</v>
      </c>
      <c r="I148" s="69">
        <f t="shared" si="54"/>
        <v>24682.368000000002</v>
      </c>
      <c r="J148" s="6">
        <v>0.47</v>
      </c>
      <c r="K148" s="69">
        <f t="shared" si="55"/>
        <v>15264.096000000001</v>
      </c>
      <c r="L148" s="6">
        <v>0.3</v>
      </c>
      <c r="M148" s="69">
        <f t="shared" si="56"/>
        <v>9743.039999999999</v>
      </c>
      <c r="N148" s="6">
        <v>0</v>
      </c>
      <c r="O148" s="69">
        <f t="shared" si="57"/>
        <v>0</v>
      </c>
      <c r="P148" s="6">
        <v>0.45</v>
      </c>
      <c r="Q148" s="69">
        <f t="shared" si="58"/>
        <v>14614.560000000001</v>
      </c>
      <c r="R148" s="7">
        <v>0.36</v>
      </c>
      <c r="S148" s="69">
        <f t="shared" si="59"/>
        <v>11691.648</v>
      </c>
      <c r="T148" s="21">
        <v>0.25</v>
      </c>
      <c r="U148" s="69">
        <f t="shared" si="46"/>
        <v>8119.200000000001</v>
      </c>
      <c r="V148" s="6">
        <f t="shared" si="65"/>
        <v>4</v>
      </c>
      <c r="W148" s="3" t="s">
        <v>71</v>
      </c>
      <c r="X148" s="168">
        <v>2706.4</v>
      </c>
      <c r="Y148" s="6">
        <v>0.4</v>
      </c>
      <c r="Z148" s="69">
        <f t="shared" si="60"/>
        <v>12990.720000000001</v>
      </c>
      <c r="AA148" s="21">
        <v>0.37</v>
      </c>
      <c r="AB148" s="69">
        <f t="shared" si="61"/>
        <v>12016.416000000001</v>
      </c>
      <c r="AC148" s="7">
        <v>0.2</v>
      </c>
      <c r="AD148" s="69">
        <f t="shared" si="62"/>
        <v>6495.360000000001</v>
      </c>
      <c r="AE148" s="21">
        <v>0.25</v>
      </c>
      <c r="AF148" s="69">
        <f t="shared" si="50"/>
        <v>8119.200000000001</v>
      </c>
      <c r="AG148" s="2"/>
      <c r="AH148" s="17"/>
      <c r="AI148" s="2"/>
      <c r="AJ148" s="2"/>
    </row>
    <row r="149" spans="1:36" ht="12.75">
      <c r="A149" s="6">
        <f t="shared" si="63"/>
        <v>138</v>
      </c>
      <c r="B149" s="6">
        <f t="shared" si="64"/>
        <v>5</v>
      </c>
      <c r="C149" s="3" t="s">
        <v>72</v>
      </c>
      <c r="D149" s="80">
        <v>3071.5</v>
      </c>
      <c r="E149" s="7">
        <f t="shared" si="51"/>
        <v>4.68</v>
      </c>
      <c r="F149" s="7">
        <f t="shared" si="52"/>
        <v>4.680000000000001</v>
      </c>
      <c r="G149" s="69">
        <f t="shared" si="53"/>
        <v>172495.44</v>
      </c>
      <c r="H149" s="6">
        <v>0.88</v>
      </c>
      <c r="I149" s="69">
        <f t="shared" si="54"/>
        <v>32435.04</v>
      </c>
      <c r="J149" s="6">
        <v>0.58</v>
      </c>
      <c r="K149" s="69">
        <f t="shared" si="55"/>
        <v>21377.64</v>
      </c>
      <c r="L149" s="6">
        <v>0.3</v>
      </c>
      <c r="M149" s="69">
        <f t="shared" si="56"/>
        <v>11057.4</v>
      </c>
      <c r="N149" s="6">
        <v>0</v>
      </c>
      <c r="O149" s="69">
        <f t="shared" si="57"/>
        <v>0</v>
      </c>
      <c r="P149" s="6">
        <v>0.45</v>
      </c>
      <c r="Q149" s="69">
        <f t="shared" si="58"/>
        <v>16586.1</v>
      </c>
      <c r="R149" s="7">
        <v>0.36</v>
      </c>
      <c r="S149" s="69">
        <f t="shared" si="59"/>
        <v>13268.880000000001</v>
      </c>
      <c r="T149" s="21">
        <v>0.45</v>
      </c>
      <c r="U149" s="69">
        <f t="shared" si="46"/>
        <v>16586.1</v>
      </c>
      <c r="V149" s="6">
        <f t="shared" si="65"/>
        <v>5</v>
      </c>
      <c r="W149" s="3" t="s">
        <v>72</v>
      </c>
      <c r="X149" s="80">
        <v>3071.5</v>
      </c>
      <c r="Y149" s="6">
        <v>0.6</v>
      </c>
      <c r="Z149" s="69">
        <f t="shared" si="60"/>
        <v>22114.8</v>
      </c>
      <c r="AA149" s="21">
        <v>0.36</v>
      </c>
      <c r="AB149" s="69">
        <f t="shared" si="61"/>
        <v>13268.880000000001</v>
      </c>
      <c r="AC149" s="7">
        <v>0.4</v>
      </c>
      <c r="AD149" s="69">
        <f t="shared" si="62"/>
        <v>14743.2</v>
      </c>
      <c r="AE149" s="21">
        <v>0.3</v>
      </c>
      <c r="AF149" s="69">
        <f t="shared" si="50"/>
        <v>11057.4</v>
      </c>
      <c r="AG149" s="2"/>
      <c r="AH149" s="17"/>
      <c r="AI149" s="2"/>
      <c r="AJ149" s="2"/>
    </row>
    <row r="150" spans="1:36" ht="12.75">
      <c r="A150" s="6">
        <f t="shared" si="63"/>
        <v>139</v>
      </c>
      <c r="B150" s="6">
        <f t="shared" si="64"/>
        <v>6</v>
      </c>
      <c r="C150" s="3" t="s">
        <v>73</v>
      </c>
      <c r="D150" s="80">
        <v>2034.4</v>
      </c>
      <c r="E150" s="7">
        <f t="shared" si="51"/>
        <v>3.2100000000000004</v>
      </c>
      <c r="F150" s="7">
        <f t="shared" si="52"/>
        <v>3.2099999999999995</v>
      </c>
      <c r="G150" s="69">
        <f t="shared" si="53"/>
        <v>78365.08799999999</v>
      </c>
      <c r="H150" s="6">
        <v>0.54</v>
      </c>
      <c r="I150" s="69">
        <f t="shared" si="54"/>
        <v>13182.912</v>
      </c>
      <c r="J150" s="6">
        <v>0.44</v>
      </c>
      <c r="K150" s="69">
        <f t="shared" si="55"/>
        <v>10741.632000000001</v>
      </c>
      <c r="L150" s="6">
        <v>0.42</v>
      </c>
      <c r="M150" s="69">
        <f t="shared" si="56"/>
        <v>10253.376</v>
      </c>
      <c r="N150" s="6">
        <v>0</v>
      </c>
      <c r="O150" s="69">
        <f t="shared" si="57"/>
        <v>0</v>
      </c>
      <c r="P150" s="6">
        <v>0.2</v>
      </c>
      <c r="Q150" s="69">
        <f t="shared" si="58"/>
        <v>4882.56</v>
      </c>
      <c r="R150" s="7">
        <v>0.36</v>
      </c>
      <c r="S150" s="69">
        <f t="shared" si="59"/>
        <v>8788.608</v>
      </c>
      <c r="T150" s="21">
        <v>0.2</v>
      </c>
      <c r="U150" s="69">
        <f t="shared" si="46"/>
        <v>4882.56</v>
      </c>
      <c r="V150" s="6">
        <f t="shared" si="65"/>
        <v>6</v>
      </c>
      <c r="W150" s="3" t="s">
        <v>73</v>
      </c>
      <c r="X150" s="80">
        <v>2034.4</v>
      </c>
      <c r="Y150" s="6">
        <v>0.3</v>
      </c>
      <c r="Z150" s="69">
        <f t="shared" si="60"/>
        <v>7323.84</v>
      </c>
      <c r="AA150" s="21">
        <v>0.35</v>
      </c>
      <c r="AB150" s="69">
        <f t="shared" si="61"/>
        <v>8544.48</v>
      </c>
      <c r="AC150" s="7">
        <v>0.2</v>
      </c>
      <c r="AD150" s="69">
        <f t="shared" si="62"/>
        <v>4882.56</v>
      </c>
      <c r="AE150" s="21">
        <v>0.2</v>
      </c>
      <c r="AF150" s="69">
        <f t="shared" si="50"/>
        <v>4882.56</v>
      </c>
      <c r="AG150" s="2"/>
      <c r="AH150" s="17"/>
      <c r="AI150" s="2"/>
      <c r="AJ150" s="2"/>
    </row>
    <row r="151" spans="1:36" ht="12.75">
      <c r="A151" s="6">
        <f t="shared" si="63"/>
        <v>140</v>
      </c>
      <c r="B151" s="6">
        <f t="shared" si="64"/>
        <v>7</v>
      </c>
      <c r="C151" s="3" t="s">
        <v>74</v>
      </c>
      <c r="D151" s="80">
        <v>5114.4</v>
      </c>
      <c r="E151" s="7">
        <f t="shared" si="51"/>
        <v>3.8299999999999996</v>
      </c>
      <c r="F151" s="7">
        <f t="shared" si="52"/>
        <v>3.8300000000000005</v>
      </c>
      <c r="G151" s="69">
        <f t="shared" si="53"/>
        <v>235057.82400000002</v>
      </c>
      <c r="H151" s="6">
        <v>0.76</v>
      </c>
      <c r="I151" s="69">
        <f t="shared" si="54"/>
        <v>46643.328</v>
      </c>
      <c r="J151" s="6">
        <v>0.4</v>
      </c>
      <c r="K151" s="69">
        <f t="shared" si="55"/>
        <v>24549.12</v>
      </c>
      <c r="L151" s="6">
        <v>0.25</v>
      </c>
      <c r="M151" s="69">
        <f t="shared" si="56"/>
        <v>15343.199999999999</v>
      </c>
      <c r="N151" s="6">
        <v>0.35</v>
      </c>
      <c r="O151" s="69">
        <f t="shared" si="57"/>
        <v>21480.479999999996</v>
      </c>
      <c r="P151" s="6">
        <v>0.24</v>
      </c>
      <c r="Q151" s="69">
        <f t="shared" si="58"/>
        <v>14729.471999999998</v>
      </c>
      <c r="R151" s="7">
        <v>0.36</v>
      </c>
      <c r="S151" s="69">
        <f t="shared" si="59"/>
        <v>22094.208</v>
      </c>
      <c r="T151" s="21">
        <v>0.25</v>
      </c>
      <c r="U151" s="69">
        <f t="shared" si="46"/>
        <v>15343.199999999999</v>
      </c>
      <c r="V151" s="6">
        <f t="shared" si="65"/>
        <v>7</v>
      </c>
      <c r="W151" s="3" t="s">
        <v>74</v>
      </c>
      <c r="X151" s="80">
        <v>5114.4</v>
      </c>
      <c r="Y151" s="6">
        <v>0.32</v>
      </c>
      <c r="Z151" s="69">
        <f t="shared" si="60"/>
        <v>19639.296</v>
      </c>
      <c r="AA151" s="21">
        <v>0.4</v>
      </c>
      <c r="AB151" s="69">
        <f t="shared" si="61"/>
        <v>24549.12</v>
      </c>
      <c r="AC151" s="7">
        <v>0.25</v>
      </c>
      <c r="AD151" s="69">
        <f t="shared" si="62"/>
        <v>15343.199999999999</v>
      </c>
      <c r="AE151" s="21">
        <v>0.25</v>
      </c>
      <c r="AF151" s="69">
        <f t="shared" si="50"/>
        <v>15343.199999999999</v>
      </c>
      <c r="AG151" s="2"/>
      <c r="AH151" s="17"/>
      <c r="AI151" s="2"/>
      <c r="AJ151" s="2"/>
    </row>
    <row r="152" spans="1:36" ht="12.75">
      <c r="A152" s="6">
        <f t="shared" si="63"/>
        <v>141</v>
      </c>
      <c r="B152" s="6">
        <f t="shared" si="64"/>
        <v>8</v>
      </c>
      <c r="C152" s="3" t="s">
        <v>75</v>
      </c>
      <c r="D152" s="80">
        <v>4214.7</v>
      </c>
      <c r="E152" s="7">
        <f t="shared" si="51"/>
        <v>3.96</v>
      </c>
      <c r="F152" s="7">
        <f t="shared" si="52"/>
        <v>3.9600000000000004</v>
      </c>
      <c r="G152" s="69">
        <f t="shared" si="53"/>
        <v>200282.544</v>
      </c>
      <c r="H152" s="6">
        <v>0.84</v>
      </c>
      <c r="I152" s="69">
        <f t="shared" si="54"/>
        <v>42484.17599999999</v>
      </c>
      <c r="J152" s="6">
        <v>0.66</v>
      </c>
      <c r="K152" s="69">
        <f t="shared" si="55"/>
        <v>33380.424</v>
      </c>
      <c r="L152" s="6">
        <v>0.32</v>
      </c>
      <c r="M152" s="69">
        <f t="shared" si="56"/>
        <v>16184.448</v>
      </c>
      <c r="N152" s="6">
        <v>0</v>
      </c>
      <c r="O152" s="69">
        <f t="shared" si="57"/>
        <v>0</v>
      </c>
      <c r="P152" s="6">
        <v>0.29</v>
      </c>
      <c r="Q152" s="69">
        <f t="shared" si="58"/>
        <v>14667.155999999999</v>
      </c>
      <c r="R152" s="7">
        <v>0.36</v>
      </c>
      <c r="S152" s="69">
        <f t="shared" si="59"/>
        <v>18207.504</v>
      </c>
      <c r="T152" s="21">
        <v>0.25</v>
      </c>
      <c r="U152" s="69">
        <f t="shared" si="46"/>
        <v>12644.099999999999</v>
      </c>
      <c r="V152" s="6">
        <f t="shared" si="65"/>
        <v>8</v>
      </c>
      <c r="W152" s="3" t="s">
        <v>75</v>
      </c>
      <c r="X152" s="80">
        <v>4214.7</v>
      </c>
      <c r="Y152" s="6">
        <v>0.4</v>
      </c>
      <c r="Z152" s="69">
        <f t="shared" si="60"/>
        <v>20230.56</v>
      </c>
      <c r="AA152" s="21">
        <v>0.35</v>
      </c>
      <c r="AB152" s="69">
        <f t="shared" si="61"/>
        <v>17701.739999999998</v>
      </c>
      <c r="AC152" s="7">
        <v>0.24</v>
      </c>
      <c r="AD152" s="69">
        <f t="shared" si="62"/>
        <v>12138.336</v>
      </c>
      <c r="AE152" s="21">
        <v>0.25</v>
      </c>
      <c r="AF152" s="69">
        <f t="shared" si="50"/>
        <v>12644.099999999999</v>
      </c>
      <c r="AG152" s="2"/>
      <c r="AH152" s="17"/>
      <c r="AI152" s="2"/>
      <c r="AJ152" s="2"/>
    </row>
    <row r="153" spans="1:36" ht="12.75">
      <c r="A153" s="6">
        <f t="shared" si="63"/>
        <v>142</v>
      </c>
      <c r="B153" s="6">
        <f t="shared" si="64"/>
        <v>9</v>
      </c>
      <c r="C153" s="3" t="s">
        <v>275</v>
      </c>
      <c r="D153" s="12">
        <v>1239.1</v>
      </c>
      <c r="E153" s="7">
        <f t="shared" si="51"/>
        <v>2.8000000000000003</v>
      </c>
      <c r="F153" s="7">
        <f t="shared" si="52"/>
        <v>2.8000000000000003</v>
      </c>
      <c r="G153" s="69">
        <f t="shared" si="53"/>
        <v>41633.759999999995</v>
      </c>
      <c r="H153" s="6">
        <v>0.6</v>
      </c>
      <c r="I153" s="69">
        <f t="shared" si="54"/>
        <v>8921.519999999999</v>
      </c>
      <c r="J153" s="6">
        <v>0.25</v>
      </c>
      <c r="K153" s="69">
        <f t="shared" si="55"/>
        <v>3717.2999999999997</v>
      </c>
      <c r="L153" s="6">
        <v>0.03</v>
      </c>
      <c r="M153" s="69">
        <f t="shared" si="56"/>
        <v>446.0759999999999</v>
      </c>
      <c r="N153" s="6">
        <v>0</v>
      </c>
      <c r="O153" s="69">
        <f t="shared" si="57"/>
        <v>0</v>
      </c>
      <c r="P153" s="6">
        <v>0.32</v>
      </c>
      <c r="Q153" s="69">
        <f t="shared" si="58"/>
        <v>4758.144</v>
      </c>
      <c r="R153" s="7">
        <v>0.36</v>
      </c>
      <c r="S153" s="69">
        <f t="shared" si="59"/>
        <v>5352.911999999999</v>
      </c>
      <c r="T153" s="21">
        <v>0.2</v>
      </c>
      <c r="U153" s="69">
        <f t="shared" si="46"/>
        <v>2973.84</v>
      </c>
      <c r="V153" s="6">
        <f t="shared" si="65"/>
        <v>9</v>
      </c>
      <c r="W153" s="3" t="s">
        <v>275</v>
      </c>
      <c r="X153" s="12">
        <v>1239.1</v>
      </c>
      <c r="Y153" s="6">
        <v>0.3</v>
      </c>
      <c r="Z153" s="69">
        <f t="shared" si="60"/>
        <v>4460.759999999999</v>
      </c>
      <c r="AA153" s="21">
        <v>0.32</v>
      </c>
      <c r="AB153" s="69">
        <f t="shared" si="61"/>
        <v>4758.144</v>
      </c>
      <c r="AC153" s="7">
        <v>0.22</v>
      </c>
      <c r="AD153" s="69">
        <f t="shared" si="62"/>
        <v>3271.2239999999997</v>
      </c>
      <c r="AE153" s="21">
        <v>0.2</v>
      </c>
      <c r="AF153" s="69">
        <f t="shared" si="50"/>
        <v>2973.84</v>
      </c>
      <c r="AG153" s="2"/>
      <c r="AH153" s="17"/>
      <c r="AI153" s="2"/>
      <c r="AJ153" s="2"/>
    </row>
    <row r="154" spans="1:36" ht="12.75">
      <c r="A154" s="6"/>
      <c r="B154" s="6"/>
      <c r="C154" s="3" t="s">
        <v>238</v>
      </c>
      <c r="D154" s="12">
        <v>3032.6</v>
      </c>
      <c r="E154" s="7">
        <f t="shared" si="51"/>
        <v>3.66</v>
      </c>
      <c r="F154" s="7">
        <f t="shared" si="52"/>
        <v>3.6600000000000006</v>
      </c>
      <c r="G154" s="69">
        <f t="shared" si="53"/>
        <v>133191.79200000002</v>
      </c>
      <c r="H154" s="6">
        <v>0.65</v>
      </c>
      <c r="I154" s="69">
        <f t="shared" si="54"/>
        <v>23654.28</v>
      </c>
      <c r="J154" s="6">
        <v>0.4</v>
      </c>
      <c r="K154" s="69">
        <f t="shared" si="55"/>
        <v>14556.48</v>
      </c>
      <c r="L154" s="6">
        <v>0.25</v>
      </c>
      <c r="M154" s="69">
        <f t="shared" si="56"/>
        <v>9097.8</v>
      </c>
      <c r="N154" s="6">
        <v>0.25</v>
      </c>
      <c r="O154" s="69">
        <f t="shared" si="57"/>
        <v>9097.8</v>
      </c>
      <c r="P154" s="6">
        <v>0.4</v>
      </c>
      <c r="Q154" s="69">
        <f t="shared" si="58"/>
        <v>14556.48</v>
      </c>
      <c r="R154" s="7">
        <v>0.36</v>
      </c>
      <c r="S154" s="69">
        <f t="shared" si="59"/>
        <v>13100.831999999999</v>
      </c>
      <c r="T154" s="21">
        <v>0.25</v>
      </c>
      <c r="U154" s="69">
        <f t="shared" si="46"/>
        <v>9097.8</v>
      </c>
      <c r="V154" s="6"/>
      <c r="W154" s="3" t="s">
        <v>238</v>
      </c>
      <c r="X154" s="12">
        <v>3032.6</v>
      </c>
      <c r="Y154" s="6">
        <v>0.3</v>
      </c>
      <c r="Z154" s="69">
        <f t="shared" si="60"/>
        <v>10917.36</v>
      </c>
      <c r="AA154" s="21">
        <v>0.35</v>
      </c>
      <c r="AB154" s="69">
        <f t="shared" si="61"/>
        <v>12736.919999999998</v>
      </c>
      <c r="AC154" s="7">
        <v>0.2</v>
      </c>
      <c r="AD154" s="69">
        <f t="shared" si="62"/>
        <v>7278.24</v>
      </c>
      <c r="AE154" s="21">
        <v>0.25</v>
      </c>
      <c r="AF154" s="69">
        <f t="shared" si="50"/>
        <v>9097.8</v>
      </c>
      <c r="AG154" s="2"/>
      <c r="AH154" s="17"/>
      <c r="AI154" s="2"/>
      <c r="AJ154" s="2"/>
    </row>
    <row r="155" spans="1:36" ht="12.75">
      <c r="A155" s="6">
        <f>A153+1</f>
        <v>143</v>
      </c>
      <c r="B155" s="6">
        <f>B153+1</f>
        <v>10</v>
      </c>
      <c r="C155" s="3" t="s">
        <v>76</v>
      </c>
      <c r="D155" s="43">
        <v>1574.21</v>
      </c>
      <c r="E155" s="7">
        <f t="shared" si="51"/>
        <v>2.7400000000000007</v>
      </c>
      <c r="F155" s="7">
        <f t="shared" si="52"/>
        <v>2.7400000000000007</v>
      </c>
      <c r="G155" s="69">
        <f t="shared" si="53"/>
        <v>51760.024800000014</v>
      </c>
      <c r="H155" s="6">
        <v>0.75</v>
      </c>
      <c r="I155" s="69">
        <f t="shared" si="54"/>
        <v>14167.89</v>
      </c>
      <c r="J155" s="6">
        <v>0.45</v>
      </c>
      <c r="K155" s="69">
        <f t="shared" si="55"/>
        <v>8500.734</v>
      </c>
      <c r="L155" s="6">
        <v>0.25</v>
      </c>
      <c r="M155" s="69">
        <f t="shared" si="56"/>
        <v>4722.63</v>
      </c>
      <c r="N155" s="6">
        <v>0</v>
      </c>
      <c r="O155" s="69">
        <f t="shared" si="57"/>
        <v>0</v>
      </c>
      <c r="P155" s="6">
        <v>0.1</v>
      </c>
      <c r="Q155" s="69">
        <f t="shared" si="58"/>
        <v>1889.0520000000001</v>
      </c>
      <c r="R155" s="7">
        <v>0.36</v>
      </c>
      <c r="S155" s="69">
        <f t="shared" si="59"/>
        <v>6800.5872</v>
      </c>
      <c r="T155" s="21">
        <v>0.1</v>
      </c>
      <c r="U155" s="69">
        <f t="shared" si="46"/>
        <v>1889.0520000000001</v>
      </c>
      <c r="V155" s="6">
        <f>V153+1</f>
        <v>10</v>
      </c>
      <c r="W155" s="3" t="s">
        <v>76</v>
      </c>
      <c r="X155" s="43">
        <v>1574.21</v>
      </c>
      <c r="Y155" s="6">
        <v>0.1</v>
      </c>
      <c r="Z155" s="69">
        <f t="shared" si="60"/>
        <v>1889.0520000000001</v>
      </c>
      <c r="AA155" s="21">
        <v>0.29</v>
      </c>
      <c r="AB155" s="69">
        <f t="shared" si="61"/>
        <v>5478.2508</v>
      </c>
      <c r="AC155" s="7">
        <v>0.24</v>
      </c>
      <c r="AD155" s="69">
        <f t="shared" si="62"/>
        <v>4533.7248</v>
      </c>
      <c r="AE155" s="21">
        <v>0.1</v>
      </c>
      <c r="AF155" s="69">
        <f t="shared" si="50"/>
        <v>1889.0520000000001</v>
      </c>
      <c r="AG155" s="2"/>
      <c r="AH155" s="17"/>
      <c r="AI155" s="2"/>
      <c r="AJ155" s="2"/>
    </row>
    <row r="156" spans="1:36" ht="12.75">
      <c r="A156" s="6">
        <f aca="true" t="shared" si="66" ref="A156:A190">A155+1</f>
        <v>144</v>
      </c>
      <c r="B156" s="6">
        <f>B155+1</f>
        <v>11</v>
      </c>
      <c r="C156" s="3" t="s">
        <v>77</v>
      </c>
      <c r="D156" s="43">
        <v>1962.1</v>
      </c>
      <c r="E156" s="7">
        <f t="shared" si="51"/>
        <v>3.2</v>
      </c>
      <c r="F156" s="7">
        <f t="shared" si="52"/>
        <v>3.1999999999999993</v>
      </c>
      <c r="G156" s="69">
        <f t="shared" si="53"/>
        <v>75344.63999999998</v>
      </c>
      <c r="H156" s="6">
        <v>0.76</v>
      </c>
      <c r="I156" s="69">
        <f t="shared" si="54"/>
        <v>17894.352</v>
      </c>
      <c r="J156" s="6">
        <v>0.4</v>
      </c>
      <c r="K156" s="69">
        <f t="shared" si="55"/>
        <v>9418.08</v>
      </c>
      <c r="L156" s="6">
        <v>0.3</v>
      </c>
      <c r="M156" s="69">
        <f t="shared" si="56"/>
        <v>7063.5599999999995</v>
      </c>
      <c r="N156" s="6">
        <v>0</v>
      </c>
      <c r="O156" s="69">
        <f t="shared" si="57"/>
        <v>0</v>
      </c>
      <c r="P156" s="6">
        <v>0.2</v>
      </c>
      <c r="Q156" s="69">
        <f t="shared" si="58"/>
        <v>4709.04</v>
      </c>
      <c r="R156" s="7">
        <v>0.36</v>
      </c>
      <c r="S156" s="69">
        <f t="shared" si="59"/>
        <v>8476.272</v>
      </c>
      <c r="T156" s="21">
        <v>0.1</v>
      </c>
      <c r="U156" s="69">
        <f t="shared" si="46"/>
        <v>2354.52</v>
      </c>
      <c r="V156" s="6">
        <f>V155+1</f>
        <v>11</v>
      </c>
      <c r="W156" s="3" t="s">
        <v>77</v>
      </c>
      <c r="X156" s="43">
        <v>1962.1</v>
      </c>
      <c r="Y156" s="6">
        <v>0.3</v>
      </c>
      <c r="Z156" s="69">
        <f t="shared" si="60"/>
        <v>7063.5599999999995</v>
      </c>
      <c r="AA156" s="21">
        <v>0.29</v>
      </c>
      <c r="AB156" s="69">
        <f t="shared" si="61"/>
        <v>6828.107999999998</v>
      </c>
      <c r="AC156" s="7">
        <v>0.24</v>
      </c>
      <c r="AD156" s="69">
        <f t="shared" si="62"/>
        <v>5650.847999999999</v>
      </c>
      <c r="AE156" s="21">
        <v>0.25</v>
      </c>
      <c r="AF156" s="69">
        <f t="shared" si="50"/>
        <v>5886.299999999999</v>
      </c>
      <c r="AG156" s="2"/>
      <c r="AH156" s="17"/>
      <c r="AI156" s="2"/>
      <c r="AJ156" s="2"/>
    </row>
    <row r="157" spans="1:36" ht="12.75">
      <c r="A157" s="6">
        <f t="shared" si="66"/>
        <v>145</v>
      </c>
      <c r="B157" s="6">
        <f aca="true" t="shared" si="67" ref="B157:B190">B156+1</f>
        <v>12</v>
      </c>
      <c r="C157" s="3" t="s">
        <v>78</v>
      </c>
      <c r="D157" s="170">
        <v>1588</v>
      </c>
      <c r="E157" s="7">
        <f t="shared" si="51"/>
        <v>3.3500000000000005</v>
      </c>
      <c r="F157" s="7">
        <f t="shared" si="52"/>
        <v>3.35</v>
      </c>
      <c r="G157" s="69">
        <f t="shared" si="53"/>
        <v>63837.600000000006</v>
      </c>
      <c r="H157" s="6">
        <v>0.76</v>
      </c>
      <c r="I157" s="69">
        <f t="shared" si="54"/>
        <v>14482.560000000001</v>
      </c>
      <c r="J157" s="6">
        <v>0.55</v>
      </c>
      <c r="K157" s="69">
        <f t="shared" si="55"/>
        <v>10480.800000000001</v>
      </c>
      <c r="L157" s="6">
        <v>0.3</v>
      </c>
      <c r="M157" s="69">
        <f t="shared" si="56"/>
        <v>5716.799999999999</v>
      </c>
      <c r="N157" s="6">
        <v>0</v>
      </c>
      <c r="O157" s="69">
        <f t="shared" si="57"/>
        <v>0</v>
      </c>
      <c r="P157" s="6">
        <v>0.25</v>
      </c>
      <c r="Q157" s="69">
        <f t="shared" si="58"/>
        <v>4764</v>
      </c>
      <c r="R157" s="7">
        <v>0.36</v>
      </c>
      <c r="S157" s="69">
        <f t="shared" si="59"/>
        <v>6860.16</v>
      </c>
      <c r="T157" s="21">
        <v>0.1</v>
      </c>
      <c r="U157" s="69">
        <f t="shared" si="46"/>
        <v>1905.6000000000001</v>
      </c>
      <c r="V157" s="6">
        <f aca="true" t="shared" si="68" ref="V157:V190">V156+1</f>
        <v>12</v>
      </c>
      <c r="W157" s="3" t="s">
        <v>78</v>
      </c>
      <c r="X157" s="170">
        <v>1588</v>
      </c>
      <c r="Y157" s="6">
        <v>0.25</v>
      </c>
      <c r="Z157" s="69">
        <f t="shared" si="60"/>
        <v>4764</v>
      </c>
      <c r="AA157" s="21">
        <v>0.29</v>
      </c>
      <c r="AB157" s="69">
        <f t="shared" si="61"/>
        <v>5526.24</v>
      </c>
      <c r="AC157" s="7">
        <v>0.24</v>
      </c>
      <c r="AD157" s="69">
        <f t="shared" si="62"/>
        <v>4573.4400000000005</v>
      </c>
      <c r="AE157" s="21">
        <v>0.25</v>
      </c>
      <c r="AF157" s="69">
        <f t="shared" si="50"/>
        <v>4764</v>
      </c>
      <c r="AG157" s="2"/>
      <c r="AH157" s="17"/>
      <c r="AI157" s="2"/>
      <c r="AJ157" s="2"/>
    </row>
    <row r="158" spans="1:36" ht="12.75">
      <c r="A158" s="6">
        <f t="shared" si="66"/>
        <v>146</v>
      </c>
      <c r="B158" s="6">
        <f t="shared" si="67"/>
        <v>13</v>
      </c>
      <c r="C158" s="3" t="s">
        <v>210</v>
      </c>
      <c r="D158" s="80">
        <v>4570.7</v>
      </c>
      <c r="E158" s="7">
        <f t="shared" si="51"/>
        <v>4.97</v>
      </c>
      <c r="F158" s="7">
        <f t="shared" si="52"/>
        <v>4.97</v>
      </c>
      <c r="G158" s="69">
        <f t="shared" si="53"/>
        <v>272596.54799999995</v>
      </c>
      <c r="H158" s="6">
        <v>0.86</v>
      </c>
      <c r="I158" s="69">
        <f t="shared" si="54"/>
        <v>47169.623999999996</v>
      </c>
      <c r="J158" s="6">
        <v>0.7</v>
      </c>
      <c r="K158" s="69">
        <f t="shared" si="55"/>
        <v>38393.88</v>
      </c>
      <c r="L158" s="6">
        <v>0.25</v>
      </c>
      <c r="M158" s="69">
        <f t="shared" si="56"/>
        <v>13712.099999999999</v>
      </c>
      <c r="N158" s="6">
        <v>0.5</v>
      </c>
      <c r="O158" s="69">
        <f t="shared" si="57"/>
        <v>27424.199999999997</v>
      </c>
      <c r="P158" s="6">
        <v>0.3</v>
      </c>
      <c r="Q158" s="69">
        <f t="shared" si="58"/>
        <v>16454.519999999997</v>
      </c>
      <c r="R158" s="7">
        <v>0.36</v>
      </c>
      <c r="S158" s="69">
        <f t="shared" si="59"/>
        <v>19745.424</v>
      </c>
      <c r="T158" s="21">
        <v>0.3</v>
      </c>
      <c r="U158" s="69">
        <f t="shared" si="46"/>
        <v>16454.519999999997</v>
      </c>
      <c r="V158" s="6">
        <f t="shared" si="68"/>
        <v>13</v>
      </c>
      <c r="W158" s="3" t="s">
        <v>210</v>
      </c>
      <c r="X158" s="80">
        <v>4570.7</v>
      </c>
      <c r="Y158" s="6">
        <v>0.6</v>
      </c>
      <c r="Z158" s="69">
        <f t="shared" si="60"/>
        <v>32909.03999999999</v>
      </c>
      <c r="AA158" s="21">
        <v>0.4</v>
      </c>
      <c r="AB158" s="69">
        <f t="shared" si="61"/>
        <v>21939.36</v>
      </c>
      <c r="AC158" s="7">
        <v>0.4</v>
      </c>
      <c r="AD158" s="69">
        <f t="shared" si="62"/>
        <v>21939.36</v>
      </c>
      <c r="AE158" s="21">
        <v>0.3</v>
      </c>
      <c r="AF158" s="69">
        <f t="shared" si="50"/>
        <v>16454.519999999997</v>
      </c>
      <c r="AG158" s="2"/>
      <c r="AH158" s="17"/>
      <c r="AI158" s="2"/>
      <c r="AJ158" s="2"/>
    </row>
    <row r="159" spans="1:36" ht="12.75">
      <c r="A159" s="6">
        <f t="shared" si="66"/>
        <v>147</v>
      </c>
      <c r="B159" s="6">
        <f t="shared" si="67"/>
        <v>14</v>
      </c>
      <c r="C159" s="3" t="s">
        <v>211</v>
      </c>
      <c r="D159" s="80">
        <v>3179.9</v>
      </c>
      <c r="E159" s="7">
        <f t="shared" si="51"/>
        <v>4</v>
      </c>
      <c r="F159" s="7">
        <f t="shared" si="52"/>
        <v>4</v>
      </c>
      <c r="G159" s="69">
        <f t="shared" si="53"/>
        <v>152635.2</v>
      </c>
      <c r="H159" s="6">
        <v>0.6</v>
      </c>
      <c r="I159" s="69">
        <f t="shared" si="54"/>
        <v>22895.28</v>
      </c>
      <c r="J159" s="6">
        <v>0.4</v>
      </c>
      <c r="K159" s="69">
        <f t="shared" si="55"/>
        <v>15263.52</v>
      </c>
      <c r="L159" s="6">
        <v>0.2</v>
      </c>
      <c r="M159" s="69">
        <f t="shared" si="56"/>
        <v>7631.76</v>
      </c>
      <c r="N159" s="6">
        <v>0.2</v>
      </c>
      <c r="O159" s="69">
        <f t="shared" si="57"/>
        <v>7631.76</v>
      </c>
      <c r="P159" s="6">
        <v>0.6</v>
      </c>
      <c r="Q159" s="69">
        <f t="shared" si="58"/>
        <v>22895.28</v>
      </c>
      <c r="R159" s="7">
        <v>0.36</v>
      </c>
      <c r="S159" s="69">
        <f t="shared" si="59"/>
        <v>13737.167999999998</v>
      </c>
      <c r="T159" s="21">
        <v>0.2</v>
      </c>
      <c r="U159" s="69">
        <f t="shared" si="46"/>
        <v>7631.76</v>
      </c>
      <c r="V159" s="6">
        <f t="shared" si="68"/>
        <v>14</v>
      </c>
      <c r="W159" s="3" t="s">
        <v>211</v>
      </c>
      <c r="X159" s="80">
        <v>3179.9</v>
      </c>
      <c r="Y159" s="6">
        <v>0.6</v>
      </c>
      <c r="Z159" s="69">
        <f t="shared" si="60"/>
        <v>22895.28</v>
      </c>
      <c r="AA159" s="21">
        <v>0.38</v>
      </c>
      <c r="AB159" s="69">
        <f t="shared" si="61"/>
        <v>14500.344000000001</v>
      </c>
      <c r="AC159" s="7">
        <v>0.26</v>
      </c>
      <c r="AD159" s="69">
        <f t="shared" si="62"/>
        <v>9921.288</v>
      </c>
      <c r="AE159" s="21">
        <v>0.2</v>
      </c>
      <c r="AF159" s="69">
        <f t="shared" si="50"/>
        <v>7631.76</v>
      </c>
      <c r="AG159" s="2"/>
      <c r="AH159" s="17"/>
      <c r="AI159" s="2"/>
      <c r="AJ159" s="2"/>
    </row>
    <row r="160" spans="1:36" ht="12.75">
      <c r="A160" s="6">
        <f t="shared" si="66"/>
        <v>148</v>
      </c>
      <c r="B160" s="6">
        <f t="shared" si="67"/>
        <v>15</v>
      </c>
      <c r="C160" s="3" t="s">
        <v>212</v>
      </c>
      <c r="D160" s="80">
        <v>4087.1</v>
      </c>
      <c r="E160" s="7">
        <f t="shared" si="51"/>
        <v>3.61</v>
      </c>
      <c r="F160" s="7">
        <f t="shared" si="52"/>
        <v>3.61</v>
      </c>
      <c r="G160" s="69">
        <f t="shared" si="53"/>
        <v>177053.172</v>
      </c>
      <c r="H160" s="6">
        <v>0.86</v>
      </c>
      <c r="I160" s="69">
        <f t="shared" si="54"/>
        <v>42178.872</v>
      </c>
      <c r="J160" s="6">
        <v>0.6</v>
      </c>
      <c r="K160" s="69">
        <f t="shared" si="55"/>
        <v>29427.119999999995</v>
      </c>
      <c r="L160" s="6">
        <v>0.28</v>
      </c>
      <c r="M160" s="69">
        <f t="shared" si="56"/>
        <v>13732.656000000003</v>
      </c>
      <c r="N160" s="6">
        <v>0</v>
      </c>
      <c r="O160" s="69">
        <f t="shared" si="57"/>
        <v>0</v>
      </c>
      <c r="P160" s="6">
        <v>0.2</v>
      </c>
      <c r="Q160" s="69">
        <f t="shared" si="58"/>
        <v>9809.04</v>
      </c>
      <c r="R160" s="7">
        <v>0.36</v>
      </c>
      <c r="S160" s="69">
        <f t="shared" si="59"/>
        <v>17656.272</v>
      </c>
      <c r="T160" s="21">
        <v>0.25</v>
      </c>
      <c r="U160" s="69">
        <f t="shared" si="46"/>
        <v>12261.3</v>
      </c>
      <c r="V160" s="6">
        <f t="shared" si="68"/>
        <v>15</v>
      </c>
      <c r="W160" s="3" t="s">
        <v>212</v>
      </c>
      <c r="X160" s="80">
        <v>4087.1</v>
      </c>
      <c r="Y160" s="6">
        <v>0.25</v>
      </c>
      <c r="Z160" s="69">
        <f t="shared" si="60"/>
        <v>12261.3</v>
      </c>
      <c r="AA160" s="21">
        <v>0.36</v>
      </c>
      <c r="AB160" s="69">
        <f t="shared" si="61"/>
        <v>17656.272</v>
      </c>
      <c r="AC160" s="7">
        <v>0.2</v>
      </c>
      <c r="AD160" s="69">
        <f t="shared" si="62"/>
        <v>9809.04</v>
      </c>
      <c r="AE160" s="21">
        <v>0.25</v>
      </c>
      <c r="AF160" s="69">
        <f t="shared" si="50"/>
        <v>12261.3</v>
      </c>
      <c r="AG160" s="2"/>
      <c r="AH160" s="17"/>
      <c r="AI160" s="2"/>
      <c r="AJ160" s="2"/>
    </row>
    <row r="161" spans="1:36" ht="12.75">
      <c r="A161" s="6">
        <f t="shared" si="66"/>
        <v>149</v>
      </c>
      <c r="B161" s="6">
        <f t="shared" si="67"/>
        <v>16</v>
      </c>
      <c r="C161" s="3" t="s">
        <v>213</v>
      </c>
      <c r="D161" s="80">
        <v>5035.5</v>
      </c>
      <c r="E161" s="7">
        <f t="shared" si="51"/>
        <v>3.78</v>
      </c>
      <c r="F161" s="7">
        <f t="shared" si="52"/>
        <v>3.7799999999999994</v>
      </c>
      <c r="G161" s="69">
        <f t="shared" si="53"/>
        <v>228410.27999999997</v>
      </c>
      <c r="H161" s="6">
        <v>0.71</v>
      </c>
      <c r="I161" s="69">
        <f t="shared" si="54"/>
        <v>42902.46</v>
      </c>
      <c r="J161" s="6">
        <v>0.6</v>
      </c>
      <c r="K161" s="69">
        <f t="shared" si="55"/>
        <v>36255.6</v>
      </c>
      <c r="L161" s="6">
        <v>0.2</v>
      </c>
      <c r="M161" s="69">
        <f t="shared" si="56"/>
        <v>12085.2</v>
      </c>
      <c r="N161" s="6">
        <v>0</v>
      </c>
      <c r="O161" s="69">
        <f t="shared" si="57"/>
        <v>0</v>
      </c>
      <c r="P161" s="6">
        <v>0.3</v>
      </c>
      <c r="Q161" s="69">
        <f t="shared" si="58"/>
        <v>18127.8</v>
      </c>
      <c r="R161" s="7">
        <v>0.36</v>
      </c>
      <c r="S161" s="69">
        <f t="shared" si="59"/>
        <v>21753.36</v>
      </c>
      <c r="T161" s="21">
        <v>0.3</v>
      </c>
      <c r="U161" s="69">
        <f t="shared" si="46"/>
        <v>18127.8</v>
      </c>
      <c r="V161" s="6">
        <f t="shared" si="68"/>
        <v>16</v>
      </c>
      <c r="W161" s="3" t="s">
        <v>213</v>
      </c>
      <c r="X161" s="80">
        <v>5035.5</v>
      </c>
      <c r="Y161" s="6">
        <v>0.4</v>
      </c>
      <c r="Z161" s="69">
        <f t="shared" si="60"/>
        <v>24170.4</v>
      </c>
      <c r="AA161" s="21">
        <v>0.41</v>
      </c>
      <c r="AB161" s="69">
        <f t="shared" si="61"/>
        <v>24774.659999999996</v>
      </c>
      <c r="AC161" s="7">
        <v>0.2</v>
      </c>
      <c r="AD161" s="69">
        <f t="shared" si="62"/>
        <v>12085.2</v>
      </c>
      <c r="AE161" s="21">
        <v>0.3</v>
      </c>
      <c r="AF161" s="69">
        <f t="shared" si="50"/>
        <v>18127.8</v>
      </c>
      <c r="AG161" s="2"/>
      <c r="AH161" s="17"/>
      <c r="AI161" s="2"/>
      <c r="AJ161" s="2"/>
    </row>
    <row r="162" spans="1:36" ht="12.75">
      <c r="A162" s="6">
        <f t="shared" si="66"/>
        <v>150</v>
      </c>
      <c r="B162" s="6">
        <f t="shared" si="67"/>
        <v>17</v>
      </c>
      <c r="C162" s="3" t="s">
        <v>170</v>
      </c>
      <c r="D162" s="43">
        <v>3119.2</v>
      </c>
      <c r="E162" s="7">
        <f t="shared" si="51"/>
        <v>3.92</v>
      </c>
      <c r="F162" s="7">
        <f t="shared" si="52"/>
        <v>3.9200000000000004</v>
      </c>
      <c r="G162" s="69">
        <f t="shared" si="53"/>
        <v>146727.168</v>
      </c>
      <c r="H162" s="6">
        <v>0.8</v>
      </c>
      <c r="I162" s="69">
        <f t="shared" si="54"/>
        <v>29944.32</v>
      </c>
      <c r="J162" s="6">
        <v>0.45</v>
      </c>
      <c r="K162" s="69">
        <f t="shared" si="55"/>
        <v>16843.68</v>
      </c>
      <c r="L162" s="6">
        <v>0.4</v>
      </c>
      <c r="M162" s="69">
        <f t="shared" si="56"/>
        <v>14972.16</v>
      </c>
      <c r="N162" s="6">
        <v>0.2</v>
      </c>
      <c r="O162" s="69">
        <f t="shared" si="57"/>
        <v>7486.08</v>
      </c>
      <c r="P162" s="6">
        <v>0.35</v>
      </c>
      <c r="Q162" s="69">
        <f t="shared" si="58"/>
        <v>13100.639999999998</v>
      </c>
      <c r="R162" s="7">
        <v>0.36</v>
      </c>
      <c r="S162" s="69">
        <f t="shared" si="59"/>
        <v>13474.943999999998</v>
      </c>
      <c r="T162" s="21">
        <v>0.2</v>
      </c>
      <c r="U162" s="69">
        <f t="shared" si="46"/>
        <v>7486.08</v>
      </c>
      <c r="V162" s="6">
        <f t="shared" si="68"/>
        <v>17</v>
      </c>
      <c r="W162" s="3" t="s">
        <v>170</v>
      </c>
      <c r="X162" s="43">
        <v>3119.2</v>
      </c>
      <c r="Y162" s="6">
        <v>0.38</v>
      </c>
      <c r="Z162" s="69">
        <f t="shared" si="60"/>
        <v>14223.552</v>
      </c>
      <c r="AA162" s="21">
        <v>0.38</v>
      </c>
      <c r="AB162" s="69">
        <f t="shared" si="61"/>
        <v>14223.552</v>
      </c>
      <c r="AC162" s="7">
        <v>0.2</v>
      </c>
      <c r="AD162" s="69">
        <f t="shared" si="62"/>
        <v>7486.08</v>
      </c>
      <c r="AE162" s="21">
        <v>0.2</v>
      </c>
      <c r="AF162" s="69">
        <f t="shared" si="50"/>
        <v>7486.08</v>
      </c>
      <c r="AG162" s="2"/>
      <c r="AH162" s="17"/>
      <c r="AI162" s="2"/>
      <c r="AJ162" s="2"/>
    </row>
    <row r="163" spans="1:36" ht="12.75">
      <c r="A163" s="6">
        <f t="shared" si="66"/>
        <v>151</v>
      </c>
      <c r="B163" s="6">
        <f t="shared" si="67"/>
        <v>18</v>
      </c>
      <c r="C163" s="3" t="s">
        <v>250</v>
      </c>
      <c r="D163" s="80">
        <v>3331.7</v>
      </c>
      <c r="E163" s="7">
        <f t="shared" si="51"/>
        <v>7.17</v>
      </c>
      <c r="F163" s="7">
        <f t="shared" si="52"/>
        <v>7.169999999999999</v>
      </c>
      <c r="G163" s="69">
        <f t="shared" si="53"/>
        <v>286659.46799999994</v>
      </c>
      <c r="H163" s="6">
        <v>1.65</v>
      </c>
      <c r="I163" s="69">
        <f t="shared" si="54"/>
        <v>65967.65999999999</v>
      </c>
      <c r="J163" s="6">
        <v>0.98</v>
      </c>
      <c r="K163" s="69">
        <f t="shared" si="55"/>
        <v>39180.792</v>
      </c>
      <c r="L163" s="6">
        <v>0.73</v>
      </c>
      <c r="M163" s="69">
        <f t="shared" si="56"/>
        <v>29185.691999999995</v>
      </c>
      <c r="N163" s="6">
        <v>0</v>
      </c>
      <c r="O163" s="69">
        <f t="shared" si="57"/>
        <v>0</v>
      </c>
      <c r="P163" s="6">
        <v>0.25</v>
      </c>
      <c r="Q163" s="69">
        <f t="shared" si="58"/>
        <v>9995.099999999999</v>
      </c>
      <c r="R163" s="7">
        <v>0.36</v>
      </c>
      <c r="S163" s="69">
        <f t="shared" si="59"/>
        <v>14392.943999999998</v>
      </c>
      <c r="T163" s="21">
        <v>0.7</v>
      </c>
      <c r="U163" s="69">
        <f t="shared" si="46"/>
        <v>27986.279999999995</v>
      </c>
      <c r="V163" s="6">
        <f t="shared" si="68"/>
        <v>18</v>
      </c>
      <c r="W163" s="3" t="s">
        <v>250</v>
      </c>
      <c r="X163" s="80">
        <v>3331.7</v>
      </c>
      <c r="Y163" s="6">
        <v>0.8</v>
      </c>
      <c r="Z163" s="69">
        <f t="shared" si="60"/>
        <v>31984.32</v>
      </c>
      <c r="AA163" s="21">
        <v>0.4</v>
      </c>
      <c r="AB163" s="69">
        <f t="shared" si="61"/>
        <v>15992.16</v>
      </c>
      <c r="AC163" s="7">
        <v>0.6</v>
      </c>
      <c r="AD163" s="69">
        <f t="shared" si="62"/>
        <v>23988.239999999998</v>
      </c>
      <c r="AE163" s="21">
        <v>0.7</v>
      </c>
      <c r="AF163" s="69">
        <f t="shared" si="50"/>
        <v>27986.279999999995</v>
      </c>
      <c r="AG163" s="2"/>
      <c r="AH163" s="17"/>
      <c r="AI163" s="2"/>
      <c r="AJ163" s="2"/>
    </row>
    <row r="164" spans="1:36" ht="12.75">
      <c r="A164" s="6">
        <f t="shared" si="66"/>
        <v>152</v>
      </c>
      <c r="B164" s="6">
        <f t="shared" si="67"/>
        <v>19</v>
      </c>
      <c r="C164" s="3" t="s">
        <v>79</v>
      </c>
      <c r="D164" s="80">
        <v>3882.7</v>
      </c>
      <c r="E164" s="7">
        <f t="shared" si="51"/>
        <v>5.109999999999999</v>
      </c>
      <c r="F164" s="7">
        <f t="shared" si="52"/>
        <v>5.11</v>
      </c>
      <c r="G164" s="69">
        <f t="shared" si="53"/>
        <v>238087.164</v>
      </c>
      <c r="H164" s="6">
        <v>0.86</v>
      </c>
      <c r="I164" s="69">
        <f t="shared" si="54"/>
        <v>40069.464</v>
      </c>
      <c r="J164" s="6">
        <v>0.6</v>
      </c>
      <c r="K164" s="69">
        <f t="shared" si="55"/>
        <v>27955.44</v>
      </c>
      <c r="L164" s="6">
        <v>0.8</v>
      </c>
      <c r="M164" s="69">
        <f t="shared" si="56"/>
        <v>37273.92</v>
      </c>
      <c r="N164" s="6">
        <v>0.2</v>
      </c>
      <c r="O164" s="69">
        <f t="shared" si="57"/>
        <v>9318.48</v>
      </c>
      <c r="P164" s="6">
        <v>0.25</v>
      </c>
      <c r="Q164" s="69">
        <f t="shared" si="58"/>
        <v>11648.099999999999</v>
      </c>
      <c r="R164" s="7">
        <v>0.36</v>
      </c>
      <c r="S164" s="69">
        <f t="shared" si="59"/>
        <v>16773.264</v>
      </c>
      <c r="T164" s="21">
        <v>0.4</v>
      </c>
      <c r="U164" s="69">
        <f t="shared" si="46"/>
        <v>18636.96</v>
      </c>
      <c r="V164" s="6">
        <f t="shared" si="68"/>
        <v>19</v>
      </c>
      <c r="W164" s="3" t="s">
        <v>79</v>
      </c>
      <c r="X164" s="80">
        <v>3882.7</v>
      </c>
      <c r="Y164" s="6">
        <v>0.6</v>
      </c>
      <c r="Z164" s="69">
        <f t="shared" si="60"/>
        <v>27955.44</v>
      </c>
      <c r="AA164" s="21">
        <v>0.59</v>
      </c>
      <c r="AB164" s="69">
        <f t="shared" si="61"/>
        <v>27489.515999999996</v>
      </c>
      <c r="AC164" s="7">
        <v>0.2</v>
      </c>
      <c r="AD164" s="69">
        <f t="shared" si="62"/>
        <v>9318.48</v>
      </c>
      <c r="AE164" s="21">
        <v>0.25</v>
      </c>
      <c r="AF164" s="69">
        <f t="shared" si="50"/>
        <v>11648.099999999999</v>
      </c>
      <c r="AG164" s="2"/>
      <c r="AH164" s="17"/>
      <c r="AI164" s="2"/>
      <c r="AJ164" s="2"/>
    </row>
    <row r="165" spans="1:36" ht="12.75">
      <c r="A165" s="6">
        <f t="shared" si="66"/>
        <v>153</v>
      </c>
      <c r="B165" s="6">
        <f t="shared" si="67"/>
        <v>20</v>
      </c>
      <c r="C165" s="3" t="s">
        <v>80</v>
      </c>
      <c r="D165" s="80">
        <v>4238.7</v>
      </c>
      <c r="E165" s="7">
        <f t="shared" si="51"/>
        <v>3.52</v>
      </c>
      <c r="F165" s="7">
        <f t="shared" si="52"/>
        <v>3.5199999999999996</v>
      </c>
      <c r="G165" s="69">
        <f t="shared" si="53"/>
        <v>179042.68799999997</v>
      </c>
      <c r="H165" s="6">
        <v>0.76</v>
      </c>
      <c r="I165" s="69">
        <f t="shared" si="54"/>
        <v>38656.943999999996</v>
      </c>
      <c r="J165" s="6">
        <v>0.5</v>
      </c>
      <c r="K165" s="69">
        <f t="shared" si="55"/>
        <v>25432.199999999997</v>
      </c>
      <c r="L165" s="6">
        <v>0.2</v>
      </c>
      <c r="M165" s="69">
        <f t="shared" si="56"/>
        <v>10172.880000000001</v>
      </c>
      <c r="N165" s="6">
        <v>0</v>
      </c>
      <c r="O165" s="69">
        <f t="shared" si="57"/>
        <v>0</v>
      </c>
      <c r="P165" s="6">
        <v>0.25</v>
      </c>
      <c r="Q165" s="69">
        <f t="shared" si="58"/>
        <v>12716.099999999999</v>
      </c>
      <c r="R165" s="7">
        <v>0.36</v>
      </c>
      <c r="S165" s="69">
        <f t="shared" si="59"/>
        <v>18311.183999999997</v>
      </c>
      <c r="T165" s="21">
        <v>0.19</v>
      </c>
      <c r="U165" s="69">
        <f t="shared" si="46"/>
        <v>9664.235999999999</v>
      </c>
      <c r="V165" s="6">
        <f t="shared" si="68"/>
        <v>20</v>
      </c>
      <c r="W165" s="3" t="s">
        <v>80</v>
      </c>
      <c r="X165" s="80">
        <v>4238.7</v>
      </c>
      <c r="Y165" s="6">
        <v>0.55</v>
      </c>
      <c r="Z165" s="69">
        <f t="shared" si="60"/>
        <v>27975.420000000006</v>
      </c>
      <c r="AA165" s="21">
        <v>0.41</v>
      </c>
      <c r="AB165" s="69">
        <f t="shared" si="61"/>
        <v>20854.403999999995</v>
      </c>
      <c r="AC165" s="7">
        <v>0.2</v>
      </c>
      <c r="AD165" s="69">
        <f t="shared" si="62"/>
        <v>10172.880000000001</v>
      </c>
      <c r="AE165" s="21">
        <v>0.1</v>
      </c>
      <c r="AF165" s="69">
        <f t="shared" si="50"/>
        <v>5086.4400000000005</v>
      </c>
      <c r="AG165" s="2"/>
      <c r="AH165" s="17"/>
      <c r="AI165" s="2"/>
      <c r="AJ165" s="2"/>
    </row>
    <row r="166" spans="1:36" ht="12.75">
      <c r="A166" s="6">
        <f t="shared" si="66"/>
        <v>154</v>
      </c>
      <c r="B166" s="6">
        <f t="shared" si="67"/>
        <v>21</v>
      </c>
      <c r="C166" s="3" t="s">
        <v>81</v>
      </c>
      <c r="D166" s="80">
        <v>1711.1</v>
      </c>
      <c r="E166" s="7">
        <f t="shared" si="51"/>
        <v>3.2000000000000006</v>
      </c>
      <c r="F166" s="7">
        <f t="shared" si="52"/>
        <v>3.1999999999999997</v>
      </c>
      <c r="G166" s="69">
        <f t="shared" si="53"/>
        <v>65706.23999999999</v>
      </c>
      <c r="H166" s="6">
        <v>0.7</v>
      </c>
      <c r="I166" s="69">
        <f t="shared" si="54"/>
        <v>14373.239999999998</v>
      </c>
      <c r="J166" s="6">
        <v>0.55</v>
      </c>
      <c r="K166" s="69">
        <f t="shared" si="55"/>
        <v>11293.26</v>
      </c>
      <c r="L166" s="6">
        <v>0.3</v>
      </c>
      <c r="M166" s="69">
        <f t="shared" si="56"/>
        <v>6159.959999999999</v>
      </c>
      <c r="N166" s="6">
        <v>0.2</v>
      </c>
      <c r="O166" s="69">
        <f t="shared" si="57"/>
        <v>4106.64</v>
      </c>
      <c r="P166" s="6">
        <v>0.2</v>
      </c>
      <c r="Q166" s="69">
        <f t="shared" si="58"/>
        <v>4106.64</v>
      </c>
      <c r="R166" s="7">
        <v>0.36</v>
      </c>
      <c r="S166" s="69">
        <f t="shared" si="59"/>
        <v>7391.951999999999</v>
      </c>
      <c r="T166" s="21">
        <v>0.1</v>
      </c>
      <c r="U166" s="69">
        <f t="shared" si="46"/>
        <v>2053.32</v>
      </c>
      <c r="V166" s="6">
        <f t="shared" si="68"/>
        <v>21</v>
      </c>
      <c r="W166" s="3" t="s">
        <v>81</v>
      </c>
      <c r="X166" s="80">
        <v>1711.1</v>
      </c>
      <c r="Y166" s="6">
        <v>0.2</v>
      </c>
      <c r="Z166" s="69">
        <f t="shared" si="60"/>
        <v>4106.64</v>
      </c>
      <c r="AA166" s="21">
        <v>0.29</v>
      </c>
      <c r="AB166" s="69">
        <f t="shared" si="61"/>
        <v>5954.627999999999</v>
      </c>
      <c r="AC166" s="7">
        <v>0.2</v>
      </c>
      <c r="AD166" s="69">
        <f t="shared" si="62"/>
        <v>4106.64</v>
      </c>
      <c r="AE166" s="21">
        <v>0.1</v>
      </c>
      <c r="AF166" s="69">
        <f t="shared" si="50"/>
        <v>2053.32</v>
      </c>
      <c r="AG166" s="2"/>
      <c r="AH166" s="17"/>
      <c r="AI166" s="2"/>
      <c r="AJ166" s="2"/>
    </row>
    <row r="167" spans="1:36" ht="12.75">
      <c r="A167" s="6">
        <f t="shared" si="66"/>
        <v>155</v>
      </c>
      <c r="B167" s="6">
        <f t="shared" si="67"/>
        <v>22</v>
      </c>
      <c r="C167" s="3" t="s">
        <v>82</v>
      </c>
      <c r="D167" s="80">
        <v>4987.9</v>
      </c>
      <c r="E167" s="7">
        <f t="shared" si="51"/>
        <v>4.2</v>
      </c>
      <c r="F167" s="7">
        <f t="shared" si="52"/>
        <v>4.2</v>
      </c>
      <c r="G167" s="69">
        <f t="shared" si="53"/>
        <v>251390.15999999997</v>
      </c>
      <c r="H167" s="6">
        <v>0.8</v>
      </c>
      <c r="I167" s="69">
        <f t="shared" si="54"/>
        <v>47883.84</v>
      </c>
      <c r="J167" s="6">
        <v>0.56</v>
      </c>
      <c r="K167" s="69">
        <f t="shared" si="55"/>
        <v>33518.688</v>
      </c>
      <c r="L167" s="6">
        <v>0.4</v>
      </c>
      <c r="M167" s="69">
        <f t="shared" si="56"/>
        <v>23941.92</v>
      </c>
      <c r="N167" s="6">
        <v>0</v>
      </c>
      <c r="O167" s="69">
        <f t="shared" si="57"/>
        <v>0</v>
      </c>
      <c r="P167" s="6">
        <v>0.4</v>
      </c>
      <c r="Q167" s="69">
        <f t="shared" si="58"/>
        <v>23941.92</v>
      </c>
      <c r="R167" s="7">
        <v>0.36</v>
      </c>
      <c r="S167" s="69">
        <f t="shared" si="59"/>
        <v>21547.727999999996</v>
      </c>
      <c r="T167" s="21">
        <v>0.3</v>
      </c>
      <c r="U167" s="69">
        <f t="shared" si="46"/>
        <v>17956.44</v>
      </c>
      <c r="V167" s="6">
        <f t="shared" si="68"/>
        <v>22</v>
      </c>
      <c r="W167" s="3" t="s">
        <v>82</v>
      </c>
      <c r="X167" s="80">
        <v>4987.9</v>
      </c>
      <c r="Y167" s="6">
        <v>0.5</v>
      </c>
      <c r="Z167" s="69">
        <f t="shared" si="60"/>
        <v>29927.399999999998</v>
      </c>
      <c r="AA167" s="21">
        <v>0.38</v>
      </c>
      <c r="AB167" s="69">
        <f t="shared" si="61"/>
        <v>22744.823999999997</v>
      </c>
      <c r="AC167" s="7">
        <v>0.2</v>
      </c>
      <c r="AD167" s="69">
        <f t="shared" si="62"/>
        <v>11970.96</v>
      </c>
      <c r="AE167" s="21">
        <v>0.3</v>
      </c>
      <c r="AF167" s="69">
        <f t="shared" si="50"/>
        <v>17956.44</v>
      </c>
      <c r="AG167" s="2"/>
      <c r="AH167" s="17"/>
      <c r="AI167" s="2"/>
      <c r="AJ167" s="2"/>
    </row>
    <row r="168" spans="1:36" ht="12.75">
      <c r="A168" s="6">
        <f t="shared" si="66"/>
        <v>156</v>
      </c>
      <c r="B168" s="6">
        <f t="shared" si="67"/>
        <v>23</v>
      </c>
      <c r="C168" s="3" t="s">
        <v>83</v>
      </c>
      <c r="D168" s="80">
        <v>4089.3</v>
      </c>
      <c r="E168" s="7">
        <f t="shared" si="51"/>
        <v>4.04</v>
      </c>
      <c r="F168" s="7">
        <f t="shared" si="52"/>
        <v>4.04</v>
      </c>
      <c r="G168" s="69">
        <f t="shared" si="53"/>
        <v>198249.26400000002</v>
      </c>
      <c r="H168" s="6">
        <v>0.8</v>
      </c>
      <c r="I168" s="69">
        <f t="shared" si="54"/>
        <v>39257.280000000006</v>
      </c>
      <c r="J168" s="6">
        <v>0.55</v>
      </c>
      <c r="K168" s="69">
        <f t="shared" si="55"/>
        <v>26989.380000000005</v>
      </c>
      <c r="L168" s="6">
        <v>0.4</v>
      </c>
      <c r="M168" s="69">
        <f t="shared" si="56"/>
        <v>19628.640000000003</v>
      </c>
      <c r="N168" s="6">
        <v>0</v>
      </c>
      <c r="O168" s="69">
        <f t="shared" si="57"/>
        <v>0</v>
      </c>
      <c r="P168" s="6">
        <v>0.4</v>
      </c>
      <c r="Q168" s="69">
        <f t="shared" si="58"/>
        <v>19628.640000000003</v>
      </c>
      <c r="R168" s="7">
        <v>0.36</v>
      </c>
      <c r="S168" s="69">
        <f t="shared" si="59"/>
        <v>17665.775999999998</v>
      </c>
      <c r="T168" s="21">
        <v>0.25</v>
      </c>
      <c r="U168" s="69">
        <f t="shared" si="46"/>
        <v>12267.900000000001</v>
      </c>
      <c r="V168" s="6">
        <f t="shared" si="68"/>
        <v>23</v>
      </c>
      <c r="W168" s="3" t="s">
        <v>83</v>
      </c>
      <c r="X168" s="80">
        <v>4089.3</v>
      </c>
      <c r="Y168" s="6">
        <v>0.45</v>
      </c>
      <c r="Z168" s="69">
        <f t="shared" si="60"/>
        <v>22082.22</v>
      </c>
      <c r="AA168" s="21">
        <v>0.38</v>
      </c>
      <c r="AB168" s="69">
        <f t="shared" si="61"/>
        <v>18647.208000000002</v>
      </c>
      <c r="AC168" s="7">
        <v>0.2</v>
      </c>
      <c r="AD168" s="69">
        <f t="shared" si="62"/>
        <v>9814.320000000002</v>
      </c>
      <c r="AE168" s="21">
        <v>0.25</v>
      </c>
      <c r="AF168" s="69">
        <f t="shared" si="50"/>
        <v>12267.900000000001</v>
      </c>
      <c r="AG168" s="2"/>
      <c r="AH168" s="17"/>
      <c r="AI168" s="2"/>
      <c r="AJ168" s="2"/>
    </row>
    <row r="169" spans="1:36" ht="12.75">
      <c r="A169" s="6">
        <f t="shared" si="66"/>
        <v>157</v>
      </c>
      <c r="B169" s="6">
        <f t="shared" si="67"/>
        <v>24</v>
      </c>
      <c r="C169" s="3" t="s">
        <v>236</v>
      </c>
      <c r="D169" s="43">
        <v>2177.9</v>
      </c>
      <c r="E169" s="7">
        <f t="shared" si="51"/>
        <v>4.24</v>
      </c>
      <c r="F169" s="7">
        <f t="shared" si="52"/>
        <v>4.239999999999999</v>
      </c>
      <c r="G169" s="69">
        <f t="shared" si="53"/>
        <v>110811.552</v>
      </c>
      <c r="H169" s="6">
        <v>0.8</v>
      </c>
      <c r="I169" s="69">
        <f t="shared" si="54"/>
        <v>20907.840000000004</v>
      </c>
      <c r="J169" s="6">
        <v>0.65</v>
      </c>
      <c r="K169" s="69">
        <f t="shared" si="55"/>
        <v>16987.620000000003</v>
      </c>
      <c r="L169" s="6">
        <v>0.4</v>
      </c>
      <c r="M169" s="69">
        <f t="shared" si="56"/>
        <v>10453.920000000002</v>
      </c>
      <c r="N169" s="6">
        <v>0</v>
      </c>
      <c r="O169" s="69">
        <f t="shared" si="57"/>
        <v>0</v>
      </c>
      <c r="P169" s="6">
        <v>0.4</v>
      </c>
      <c r="Q169" s="69">
        <f t="shared" si="58"/>
        <v>10453.920000000002</v>
      </c>
      <c r="R169" s="7">
        <v>0.36</v>
      </c>
      <c r="S169" s="69">
        <f t="shared" si="59"/>
        <v>9408.528</v>
      </c>
      <c r="T169" s="21">
        <v>0.25</v>
      </c>
      <c r="U169" s="69">
        <f t="shared" si="46"/>
        <v>6533.700000000001</v>
      </c>
      <c r="V169" s="6">
        <f t="shared" si="68"/>
        <v>24</v>
      </c>
      <c r="W169" s="3" t="s">
        <v>236</v>
      </c>
      <c r="X169" s="43">
        <v>2177.9</v>
      </c>
      <c r="Y169" s="6">
        <v>0.58</v>
      </c>
      <c r="Z169" s="69">
        <f t="shared" si="60"/>
        <v>15158.184000000001</v>
      </c>
      <c r="AA169" s="21">
        <v>0.35</v>
      </c>
      <c r="AB169" s="69">
        <f t="shared" si="61"/>
        <v>9147.18</v>
      </c>
      <c r="AC169" s="7">
        <v>0.2</v>
      </c>
      <c r="AD169" s="69">
        <f t="shared" si="62"/>
        <v>5226.960000000001</v>
      </c>
      <c r="AE169" s="21">
        <v>0.25</v>
      </c>
      <c r="AF169" s="69">
        <f t="shared" si="50"/>
        <v>6533.700000000001</v>
      </c>
      <c r="AG169" s="2"/>
      <c r="AH169" s="17"/>
      <c r="AI169" s="2"/>
      <c r="AJ169" s="2"/>
    </row>
    <row r="170" spans="1:36" ht="12.75">
      <c r="A170" s="6">
        <f t="shared" si="66"/>
        <v>158</v>
      </c>
      <c r="B170" s="6">
        <f t="shared" si="67"/>
        <v>25</v>
      </c>
      <c r="C170" s="3" t="s">
        <v>84</v>
      </c>
      <c r="D170" s="80">
        <v>3763.6</v>
      </c>
      <c r="E170" s="7">
        <f t="shared" si="51"/>
        <v>3.86</v>
      </c>
      <c r="F170" s="7">
        <f t="shared" si="52"/>
        <v>3.86</v>
      </c>
      <c r="G170" s="69">
        <f t="shared" si="53"/>
        <v>174329.952</v>
      </c>
      <c r="H170" s="6">
        <v>0.81</v>
      </c>
      <c r="I170" s="69">
        <f t="shared" si="54"/>
        <v>36582.192</v>
      </c>
      <c r="J170" s="6">
        <v>0.65</v>
      </c>
      <c r="K170" s="69">
        <f t="shared" si="55"/>
        <v>29356.08</v>
      </c>
      <c r="L170" s="6">
        <v>0.25</v>
      </c>
      <c r="M170" s="69">
        <f t="shared" si="56"/>
        <v>11290.8</v>
      </c>
      <c r="N170" s="6">
        <v>0</v>
      </c>
      <c r="O170" s="69">
        <f t="shared" si="57"/>
        <v>0</v>
      </c>
      <c r="P170" s="6">
        <v>0.31</v>
      </c>
      <c r="Q170" s="69">
        <f t="shared" si="58"/>
        <v>14000.591999999999</v>
      </c>
      <c r="R170" s="7">
        <v>0.36</v>
      </c>
      <c r="S170" s="69">
        <f t="shared" si="59"/>
        <v>16258.752</v>
      </c>
      <c r="T170" s="21">
        <v>0.25</v>
      </c>
      <c r="U170" s="69">
        <f t="shared" si="46"/>
        <v>11290.8</v>
      </c>
      <c r="V170" s="6">
        <f t="shared" si="68"/>
        <v>25</v>
      </c>
      <c r="W170" s="3" t="s">
        <v>84</v>
      </c>
      <c r="X170" s="80">
        <v>3763.6</v>
      </c>
      <c r="Y170" s="6">
        <v>0.4</v>
      </c>
      <c r="Z170" s="69">
        <f t="shared" si="60"/>
        <v>18065.28</v>
      </c>
      <c r="AA170" s="21">
        <v>0.38</v>
      </c>
      <c r="AB170" s="69">
        <f t="shared" si="61"/>
        <v>17162.016</v>
      </c>
      <c r="AC170" s="7">
        <v>0.2</v>
      </c>
      <c r="AD170" s="69">
        <f t="shared" si="62"/>
        <v>9032.64</v>
      </c>
      <c r="AE170" s="21">
        <v>0.25</v>
      </c>
      <c r="AF170" s="69">
        <f t="shared" si="50"/>
        <v>11290.8</v>
      </c>
      <c r="AG170" s="2"/>
      <c r="AH170" s="17"/>
      <c r="AI170" s="2"/>
      <c r="AJ170" s="2"/>
    </row>
    <row r="171" spans="1:36" ht="12.75">
      <c r="A171" s="6">
        <f t="shared" si="66"/>
        <v>159</v>
      </c>
      <c r="B171" s="6">
        <f t="shared" si="67"/>
        <v>26</v>
      </c>
      <c r="C171" s="3" t="s">
        <v>85</v>
      </c>
      <c r="D171" s="80">
        <v>3497.6</v>
      </c>
      <c r="E171" s="7">
        <f t="shared" si="51"/>
        <v>3.88</v>
      </c>
      <c r="F171" s="7">
        <f t="shared" si="52"/>
        <v>3.8800000000000003</v>
      </c>
      <c r="G171" s="69">
        <f t="shared" si="53"/>
        <v>162848.256</v>
      </c>
      <c r="H171" s="6">
        <v>0.86</v>
      </c>
      <c r="I171" s="69">
        <f t="shared" si="54"/>
        <v>36095.231999999996</v>
      </c>
      <c r="J171" s="6">
        <v>0.6</v>
      </c>
      <c r="K171" s="69">
        <f t="shared" si="55"/>
        <v>25182.72</v>
      </c>
      <c r="L171" s="6">
        <v>0.3</v>
      </c>
      <c r="M171" s="69">
        <f t="shared" si="56"/>
        <v>12591.36</v>
      </c>
      <c r="N171" s="6">
        <v>0.1</v>
      </c>
      <c r="O171" s="69">
        <f t="shared" si="57"/>
        <v>4197.12</v>
      </c>
      <c r="P171" s="6">
        <v>0.2</v>
      </c>
      <c r="Q171" s="69">
        <f t="shared" si="58"/>
        <v>8394.24</v>
      </c>
      <c r="R171" s="7">
        <v>0.36</v>
      </c>
      <c r="S171" s="69">
        <f t="shared" si="59"/>
        <v>15109.632</v>
      </c>
      <c r="T171" s="21">
        <v>0.25</v>
      </c>
      <c r="U171" s="69">
        <f t="shared" si="46"/>
        <v>10492.8</v>
      </c>
      <c r="V171" s="6">
        <f t="shared" si="68"/>
        <v>26</v>
      </c>
      <c r="W171" s="3" t="s">
        <v>85</v>
      </c>
      <c r="X171" s="80">
        <v>3497.6</v>
      </c>
      <c r="Y171" s="6">
        <v>0.4</v>
      </c>
      <c r="Z171" s="69">
        <f t="shared" si="60"/>
        <v>16788.48</v>
      </c>
      <c r="AA171" s="21">
        <v>0.35</v>
      </c>
      <c r="AB171" s="69">
        <f t="shared" si="61"/>
        <v>14689.919999999998</v>
      </c>
      <c r="AC171" s="7">
        <v>0.21</v>
      </c>
      <c r="AD171" s="69">
        <f t="shared" si="62"/>
        <v>8813.952</v>
      </c>
      <c r="AE171" s="21">
        <v>0.25</v>
      </c>
      <c r="AF171" s="69">
        <f t="shared" si="50"/>
        <v>10492.8</v>
      </c>
      <c r="AG171" s="2"/>
      <c r="AH171" s="17"/>
      <c r="AI171" s="2"/>
      <c r="AJ171" s="2"/>
    </row>
    <row r="172" spans="1:36" ht="12.75">
      <c r="A172" s="6">
        <f t="shared" si="66"/>
        <v>160</v>
      </c>
      <c r="B172" s="6">
        <f t="shared" si="67"/>
        <v>27</v>
      </c>
      <c r="C172" s="3" t="s">
        <v>86</v>
      </c>
      <c r="D172" s="80">
        <v>1221.3</v>
      </c>
      <c r="E172" s="7">
        <f t="shared" si="51"/>
        <v>3.5500000000000003</v>
      </c>
      <c r="F172" s="7">
        <f t="shared" si="52"/>
        <v>3.5499999999999994</v>
      </c>
      <c r="G172" s="69">
        <f t="shared" si="53"/>
        <v>52027.37999999999</v>
      </c>
      <c r="H172" s="6">
        <v>0.81</v>
      </c>
      <c r="I172" s="69">
        <f t="shared" si="54"/>
        <v>11871.036</v>
      </c>
      <c r="J172" s="6">
        <v>0.65</v>
      </c>
      <c r="K172" s="69">
        <f t="shared" si="55"/>
        <v>9526.14</v>
      </c>
      <c r="L172" s="6">
        <v>0.35</v>
      </c>
      <c r="M172" s="69">
        <f t="shared" si="56"/>
        <v>5129.46</v>
      </c>
      <c r="N172" s="6">
        <v>0</v>
      </c>
      <c r="O172" s="69">
        <f t="shared" si="57"/>
        <v>0</v>
      </c>
      <c r="P172" s="6">
        <v>0.4</v>
      </c>
      <c r="Q172" s="69">
        <f t="shared" si="58"/>
        <v>5862.24</v>
      </c>
      <c r="R172" s="7">
        <v>0.36</v>
      </c>
      <c r="S172" s="69">
        <f t="shared" si="59"/>
        <v>5276.016</v>
      </c>
      <c r="T172" s="21">
        <v>0.1</v>
      </c>
      <c r="U172" s="69">
        <f t="shared" si="46"/>
        <v>1465.56</v>
      </c>
      <c r="V172" s="6">
        <f t="shared" si="68"/>
        <v>27</v>
      </c>
      <c r="W172" s="3" t="s">
        <v>86</v>
      </c>
      <c r="X172" s="80">
        <v>1221.3</v>
      </c>
      <c r="Y172" s="6">
        <v>0.24</v>
      </c>
      <c r="Z172" s="69">
        <f t="shared" si="60"/>
        <v>3517.3439999999996</v>
      </c>
      <c r="AA172" s="21">
        <v>0.29</v>
      </c>
      <c r="AB172" s="69">
        <f t="shared" si="61"/>
        <v>4250.124</v>
      </c>
      <c r="AC172" s="7">
        <v>0.25</v>
      </c>
      <c r="AD172" s="69">
        <f t="shared" si="62"/>
        <v>3663.8999999999996</v>
      </c>
      <c r="AE172" s="21">
        <v>0.1</v>
      </c>
      <c r="AF172" s="69">
        <f t="shared" si="50"/>
        <v>1465.56</v>
      </c>
      <c r="AG172" s="2"/>
      <c r="AH172" s="17"/>
      <c r="AI172" s="2"/>
      <c r="AJ172" s="2"/>
    </row>
    <row r="173" spans="1:36" ht="12.75">
      <c r="A173" s="6">
        <f t="shared" si="66"/>
        <v>161</v>
      </c>
      <c r="B173" s="6">
        <f t="shared" si="67"/>
        <v>28</v>
      </c>
      <c r="C173" s="3" t="s">
        <v>87</v>
      </c>
      <c r="D173" s="80">
        <v>4210.4</v>
      </c>
      <c r="E173" s="7">
        <f t="shared" si="51"/>
        <v>3.8499999999999996</v>
      </c>
      <c r="F173" s="7">
        <f t="shared" si="52"/>
        <v>3.850000000000001</v>
      </c>
      <c r="G173" s="69">
        <f t="shared" si="53"/>
        <v>194520.48</v>
      </c>
      <c r="H173" s="6">
        <v>0.86</v>
      </c>
      <c r="I173" s="69">
        <f t="shared" si="54"/>
        <v>43451.327999999994</v>
      </c>
      <c r="J173" s="6">
        <v>0.66</v>
      </c>
      <c r="K173" s="69">
        <f t="shared" si="55"/>
        <v>33346.368</v>
      </c>
      <c r="L173" s="6">
        <v>0.4</v>
      </c>
      <c r="M173" s="69">
        <f t="shared" si="56"/>
        <v>20209.92</v>
      </c>
      <c r="N173" s="6">
        <v>0</v>
      </c>
      <c r="O173" s="69">
        <f t="shared" si="57"/>
        <v>0</v>
      </c>
      <c r="P173" s="6">
        <v>0.3</v>
      </c>
      <c r="Q173" s="69">
        <f t="shared" si="58"/>
        <v>15157.439999999999</v>
      </c>
      <c r="R173" s="7">
        <v>0.36</v>
      </c>
      <c r="S173" s="69">
        <f t="shared" si="59"/>
        <v>18188.928</v>
      </c>
      <c r="T173" s="21">
        <v>0.25</v>
      </c>
      <c r="U173" s="69">
        <f t="shared" si="46"/>
        <v>12631.199999999999</v>
      </c>
      <c r="V173" s="6">
        <f t="shared" si="68"/>
        <v>28</v>
      </c>
      <c r="W173" s="3" t="s">
        <v>87</v>
      </c>
      <c r="X173" s="80">
        <v>4210.4</v>
      </c>
      <c r="Y173" s="6">
        <v>0.38</v>
      </c>
      <c r="Z173" s="69">
        <f t="shared" si="60"/>
        <v>19199.424</v>
      </c>
      <c r="AA173" s="21">
        <v>0.29</v>
      </c>
      <c r="AB173" s="69">
        <f t="shared" si="61"/>
        <v>14652.192</v>
      </c>
      <c r="AC173" s="7">
        <v>0.15</v>
      </c>
      <c r="AD173" s="69">
        <f t="shared" si="62"/>
        <v>7578.719999999999</v>
      </c>
      <c r="AE173" s="21">
        <v>0.2</v>
      </c>
      <c r="AF173" s="69">
        <f t="shared" si="50"/>
        <v>10104.96</v>
      </c>
      <c r="AG173" s="2"/>
      <c r="AH173" s="17"/>
      <c r="AI173" s="2"/>
      <c r="AJ173" s="2"/>
    </row>
    <row r="174" spans="1:36" ht="12.75">
      <c r="A174" s="6">
        <f t="shared" si="66"/>
        <v>162</v>
      </c>
      <c r="B174" s="6">
        <f t="shared" si="67"/>
        <v>29</v>
      </c>
      <c r="C174" s="3" t="s">
        <v>88</v>
      </c>
      <c r="D174" s="168">
        <v>1297</v>
      </c>
      <c r="E174" s="7">
        <f t="shared" si="51"/>
        <v>3.6499999999999995</v>
      </c>
      <c r="F174" s="7">
        <f t="shared" si="52"/>
        <v>3.65</v>
      </c>
      <c r="G174" s="69">
        <f t="shared" si="53"/>
        <v>56808.6</v>
      </c>
      <c r="H174" s="6">
        <v>0.7</v>
      </c>
      <c r="I174" s="69">
        <f t="shared" si="54"/>
        <v>10894.8</v>
      </c>
      <c r="J174" s="6">
        <v>0.6</v>
      </c>
      <c r="K174" s="69">
        <f t="shared" si="55"/>
        <v>9338.4</v>
      </c>
      <c r="L174" s="6">
        <v>0.4</v>
      </c>
      <c r="M174" s="69">
        <f t="shared" si="56"/>
        <v>6225.6</v>
      </c>
      <c r="N174" s="6">
        <v>0</v>
      </c>
      <c r="O174" s="69">
        <f t="shared" si="57"/>
        <v>0</v>
      </c>
      <c r="P174" s="6">
        <v>0.4</v>
      </c>
      <c r="Q174" s="69">
        <f t="shared" si="58"/>
        <v>6225.6</v>
      </c>
      <c r="R174" s="7">
        <v>0.36</v>
      </c>
      <c r="S174" s="69">
        <f t="shared" si="59"/>
        <v>5603.039999999999</v>
      </c>
      <c r="T174" s="21">
        <v>0.25</v>
      </c>
      <c r="U174" s="69">
        <f t="shared" si="46"/>
        <v>3891</v>
      </c>
      <c r="V174" s="6">
        <f t="shared" si="68"/>
        <v>29</v>
      </c>
      <c r="W174" s="3" t="s">
        <v>88</v>
      </c>
      <c r="X174" s="168">
        <v>1297</v>
      </c>
      <c r="Y174" s="6">
        <v>0.23</v>
      </c>
      <c r="Z174" s="69">
        <f t="shared" si="60"/>
        <v>3579.7200000000003</v>
      </c>
      <c r="AA174" s="21">
        <v>0.35</v>
      </c>
      <c r="AB174" s="69">
        <f t="shared" si="61"/>
        <v>5447.4</v>
      </c>
      <c r="AC174" s="7">
        <v>0.11</v>
      </c>
      <c r="AD174" s="69">
        <f t="shared" si="62"/>
        <v>1712.04</v>
      </c>
      <c r="AE174" s="21">
        <v>0.25</v>
      </c>
      <c r="AF174" s="69">
        <f t="shared" si="50"/>
        <v>3891</v>
      </c>
      <c r="AG174" s="2"/>
      <c r="AH174" s="17"/>
      <c r="AI174" s="2"/>
      <c r="AJ174" s="2"/>
    </row>
    <row r="175" spans="1:36" ht="12.75">
      <c r="A175" s="6">
        <f t="shared" si="66"/>
        <v>163</v>
      </c>
      <c r="B175" s="6">
        <f t="shared" si="67"/>
        <v>30</v>
      </c>
      <c r="C175" s="3" t="s">
        <v>89</v>
      </c>
      <c r="D175" s="80">
        <v>1304.8</v>
      </c>
      <c r="E175" s="7">
        <f t="shared" si="51"/>
        <v>3.9099999999999997</v>
      </c>
      <c r="F175" s="7">
        <f t="shared" si="52"/>
        <v>3.909999999999999</v>
      </c>
      <c r="G175" s="69">
        <f t="shared" si="53"/>
        <v>61221.215999999986</v>
      </c>
      <c r="H175" s="6">
        <v>0.7</v>
      </c>
      <c r="I175" s="69">
        <f t="shared" si="54"/>
        <v>10960.32</v>
      </c>
      <c r="J175" s="6">
        <v>0.6</v>
      </c>
      <c r="K175" s="69">
        <f t="shared" si="55"/>
        <v>9394.56</v>
      </c>
      <c r="L175" s="6">
        <v>0.5</v>
      </c>
      <c r="M175" s="69">
        <f t="shared" si="56"/>
        <v>7828.799999999999</v>
      </c>
      <c r="N175" s="6">
        <v>0</v>
      </c>
      <c r="O175" s="69">
        <f t="shared" si="57"/>
        <v>0</v>
      </c>
      <c r="P175" s="6">
        <v>0.4</v>
      </c>
      <c r="Q175" s="69">
        <f t="shared" si="58"/>
        <v>6263.039999999999</v>
      </c>
      <c r="R175" s="7">
        <v>0.36</v>
      </c>
      <c r="S175" s="69">
        <f t="shared" si="59"/>
        <v>5636.735999999999</v>
      </c>
      <c r="T175" s="21">
        <v>0.25</v>
      </c>
      <c r="U175" s="69">
        <f t="shared" si="46"/>
        <v>3914.3999999999996</v>
      </c>
      <c r="V175" s="6">
        <f t="shared" si="68"/>
        <v>30</v>
      </c>
      <c r="W175" s="3" t="s">
        <v>89</v>
      </c>
      <c r="X175" s="80">
        <v>1304.8</v>
      </c>
      <c r="Y175" s="6">
        <v>0.3</v>
      </c>
      <c r="Z175" s="69">
        <f t="shared" si="60"/>
        <v>4697.28</v>
      </c>
      <c r="AA175" s="21">
        <v>0.35</v>
      </c>
      <c r="AB175" s="69">
        <f t="shared" si="61"/>
        <v>5480.16</v>
      </c>
      <c r="AC175" s="7">
        <v>0.2</v>
      </c>
      <c r="AD175" s="69">
        <f t="shared" si="62"/>
        <v>3131.5199999999995</v>
      </c>
      <c r="AE175" s="21">
        <v>0.25</v>
      </c>
      <c r="AF175" s="69">
        <f t="shared" si="50"/>
        <v>3914.3999999999996</v>
      </c>
      <c r="AG175" s="2"/>
      <c r="AH175" s="17"/>
      <c r="AI175" s="2"/>
      <c r="AJ175" s="2"/>
    </row>
    <row r="176" spans="1:36" ht="12.75">
      <c r="A176" s="6">
        <f t="shared" si="66"/>
        <v>164</v>
      </c>
      <c r="B176" s="6">
        <f t="shared" si="67"/>
        <v>31</v>
      </c>
      <c r="C176" s="3" t="s">
        <v>187</v>
      </c>
      <c r="D176" s="43">
        <v>2025.1</v>
      </c>
      <c r="E176" s="7">
        <f t="shared" si="51"/>
        <v>4.5600000000000005</v>
      </c>
      <c r="F176" s="7">
        <f t="shared" si="52"/>
        <v>4.56</v>
      </c>
      <c r="G176" s="69">
        <f t="shared" si="53"/>
        <v>110813.472</v>
      </c>
      <c r="H176" s="6">
        <v>0.9</v>
      </c>
      <c r="I176" s="69">
        <f t="shared" si="54"/>
        <v>21871.079999999998</v>
      </c>
      <c r="J176" s="6">
        <v>0.8</v>
      </c>
      <c r="K176" s="69">
        <f t="shared" si="55"/>
        <v>19440.96</v>
      </c>
      <c r="L176" s="6">
        <v>0.5</v>
      </c>
      <c r="M176" s="69">
        <f t="shared" si="56"/>
        <v>12150.599999999999</v>
      </c>
      <c r="N176" s="6">
        <v>0</v>
      </c>
      <c r="O176" s="69">
        <f t="shared" si="57"/>
        <v>0</v>
      </c>
      <c r="P176" s="6">
        <v>0.5</v>
      </c>
      <c r="Q176" s="69">
        <f t="shared" si="58"/>
        <v>12150.599999999999</v>
      </c>
      <c r="R176" s="7">
        <v>0.36</v>
      </c>
      <c r="S176" s="69">
        <f t="shared" si="59"/>
        <v>8748.431999999999</v>
      </c>
      <c r="T176" s="21">
        <v>0.25</v>
      </c>
      <c r="U176" s="69">
        <f t="shared" si="46"/>
        <v>6075.299999999999</v>
      </c>
      <c r="V176" s="6">
        <f t="shared" si="68"/>
        <v>31</v>
      </c>
      <c r="W176" s="3" t="s">
        <v>187</v>
      </c>
      <c r="X176" s="43">
        <v>2025.1</v>
      </c>
      <c r="Y176" s="6">
        <v>0.4</v>
      </c>
      <c r="Z176" s="69">
        <f t="shared" si="60"/>
        <v>9720.48</v>
      </c>
      <c r="AA176" s="21">
        <v>0.4</v>
      </c>
      <c r="AB176" s="69">
        <f t="shared" si="61"/>
        <v>9720.48</v>
      </c>
      <c r="AC176" s="7">
        <v>0.2</v>
      </c>
      <c r="AD176" s="69">
        <f t="shared" si="62"/>
        <v>4860.24</v>
      </c>
      <c r="AE176" s="21">
        <v>0.25</v>
      </c>
      <c r="AF176" s="69">
        <f t="shared" si="50"/>
        <v>6075.299999999999</v>
      </c>
      <c r="AG176" s="2"/>
      <c r="AH176" s="17"/>
      <c r="AI176" s="2"/>
      <c r="AJ176" s="2"/>
    </row>
    <row r="177" spans="1:36" ht="12.75">
      <c r="A177" s="6">
        <f t="shared" si="66"/>
        <v>165</v>
      </c>
      <c r="B177" s="6">
        <f t="shared" si="67"/>
        <v>32</v>
      </c>
      <c r="C177" s="2" t="s">
        <v>255</v>
      </c>
      <c r="D177" s="38">
        <v>1582.6</v>
      </c>
      <c r="E177" s="7">
        <f t="shared" si="51"/>
        <v>7.73</v>
      </c>
      <c r="F177" s="7">
        <f t="shared" si="52"/>
        <v>7.73</v>
      </c>
      <c r="G177" s="69">
        <f t="shared" si="53"/>
        <v>146801.976</v>
      </c>
      <c r="H177" s="6">
        <v>1.9</v>
      </c>
      <c r="I177" s="69">
        <f t="shared" si="54"/>
        <v>36083.28</v>
      </c>
      <c r="J177" s="6">
        <v>1.7</v>
      </c>
      <c r="K177" s="69">
        <f t="shared" si="55"/>
        <v>32285.039999999994</v>
      </c>
      <c r="L177" s="2">
        <v>0.57</v>
      </c>
      <c r="M177" s="69">
        <f t="shared" si="56"/>
        <v>10824.983999999999</v>
      </c>
      <c r="N177" s="2">
        <v>0</v>
      </c>
      <c r="O177" s="69">
        <f t="shared" si="57"/>
        <v>0</v>
      </c>
      <c r="P177" s="2">
        <v>0.6</v>
      </c>
      <c r="Q177" s="69">
        <f t="shared" si="58"/>
        <v>11394.72</v>
      </c>
      <c r="R177" s="7">
        <v>0.36</v>
      </c>
      <c r="S177" s="69">
        <f t="shared" si="59"/>
        <v>6836.832</v>
      </c>
      <c r="T177" s="21">
        <v>0.4</v>
      </c>
      <c r="U177" s="69">
        <f t="shared" si="46"/>
        <v>7596.48</v>
      </c>
      <c r="V177" s="6">
        <f t="shared" si="68"/>
        <v>32</v>
      </c>
      <c r="W177" s="2" t="s">
        <v>255</v>
      </c>
      <c r="X177" s="38">
        <v>1582.6</v>
      </c>
      <c r="Y177" s="2">
        <v>0.8</v>
      </c>
      <c r="Z177" s="69">
        <f t="shared" si="60"/>
        <v>15192.96</v>
      </c>
      <c r="AA177" s="21">
        <v>0.5</v>
      </c>
      <c r="AB177" s="69">
        <f t="shared" si="61"/>
        <v>9495.599999999999</v>
      </c>
      <c r="AC177" s="2">
        <v>0.5</v>
      </c>
      <c r="AD177" s="69">
        <f t="shared" si="62"/>
        <v>9495.599999999999</v>
      </c>
      <c r="AE177" s="21">
        <v>0.4</v>
      </c>
      <c r="AF177" s="69">
        <f t="shared" si="50"/>
        <v>7596.48</v>
      </c>
      <c r="AG177" s="5">
        <v>0.45</v>
      </c>
      <c r="AH177" s="17">
        <f>AG177*D177*12</f>
        <v>8546.039999999999</v>
      </c>
      <c r="AI177" s="2"/>
      <c r="AJ177" s="190"/>
    </row>
    <row r="178" spans="1:36" ht="12.75">
      <c r="A178" s="6">
        <f t="shared" si="66"/>
        <v>166</v>
      </c>
      <c r="B178" s="6">
        <f t="shared" si="67"/>
        <v>33</v>
      </c>
      <c r="C178" s="3" t="s">
        <v>90</v>
      </c>
      <c r="D178" s="168">
        <v>4035.6</v>
      </c>
      <c r="E178" s="7">
        <f t="shared" si="51"/>
        <v>4</v>
      </c>
      <c r="F178" s="7">
        <f t="shared" si="52"/>
        <v>4</v>
      </c>
      <c r="G178" s="69">
        <f t="shared" si="53"/>
        <v>193708.8</v>
      </c>
      <c r="H178" s="6">
        <v>0.75</v>
      </c>
      <c r="I178" s="69">
        <f t="shared" si="54"/>
        <v>36320.399999999994</v>
      </c>
      <c r="J178" s="6">
        <v>0.6</v>
      </c>
      <c r="K178" s="69">
        <f t="shared" si="55"/>
        <v>29056.319999999996</v>
      </c>
      <c r="L178" s="6">
        <v>0.4</v>
      </c>
      <c r="M178" s="69">
        <f t="shared" si="56"/>
        <v>19370.88</v>
      </c>
      <c r="N178" s="6">
        <v>0.2</v>
      </c>
      <c r="O178" s="69">
        <f t="shared" si="57"/>
        <v>9685.44</v>
      </c>
      <c r="P178" s="6">
        <v>0.3</v>
      </c>
      <c r="Q178" s="69">
        <f t="shared" si="58"/>
        <v>14528.159999999998</v>
      </c>
      <c r="R178" s="7">
        <v>0.36</v>
      </c>
      <c r="S178" s="69">
        <f t="shared" si="59"/>
        <v>17433.791999999998</v>
      </c>
      <c r="T178" s="21">
        <v>0.25</v>
      </c>
      <c r="U178" s="69">
        <f t="shared" si="46"/>
        <v>12106.8</v>
      </c>
      <c r="V178" s="6">
        <f t="shared" si="68"/>
        <v>33</v>
      </c>
      <c r="W178" s="3" t="s">
        <v>90</v>
      </c>
      <c r="X178" s="168">
        <v>4035.6</v>
      </c>
      <c r="Y178" s="6">
        <v>0.4</v>
      </c>
      <c r="Z178" s="69">
        <f t="shared" si="60"/>
        <v>19370.88</v>
      </c>
      <c r="AA178" s="21">
        <v>0.29</v>
      </c>
      <c r="AB178" s="69">
        <f t="shared" si="61"/>
        <v>14043.887999999999</v>
      </c>
      <c r="AC178" s="7">
        <v>0.2</v>
      </c>
      <c r="AD178" s="69">
        <f t="shared" si="62"/>
        <v>9685.44</v>
      </c>
      <c r="AE178" s="21">
        <v>0.25</v>
      </c>
      <c r="AF178" s="69">
        <f t="shared" si="50"/>
        <v>12106.8</v>
      </c>
      <c r="AG178" s="2"/>
      <c r="AH178" s="17"/>
      <c r="AI178" s="2"/>
      <c r="AJ178" s="2"/>
    </row>
    <row r="179" spans="1:36" ht="12.75">
      <c r="A179" s="6">
        <f t="shared" si="66"/>
        <v>167</v>
      </c>
      <c r="B179" s="6">
        <f t="shared" si="67"/>
        <v>34</v>
      </c>
      <c r="C179" s="3" t="s">
        <v>91</v>
      </c>
      <c r="D179" s="80">
        <v>2056.5</v>
      </c>
      <c r="E179" s="7">
        <f t="shared" si="51"/>
        <v>4.390000000000001</v>
      </c>
      <c r="F179" s="7">
        <f t="shared" si="52"/>
        <v>4.39</v>
      </c>
      <c r="G179" s="69">
        <f t="shared" si="53"/>
        <v>108336.42</v>
      </c>
      <c r="H179" s="6">
        <v>0.83</v>
      </c>
      <c r="I179" s="69">
        <f t="shared" si="54"/>
        <v>20482.739999999998</v>
      </c>
      <c r="J179" s="6">
        <v>0.6</v>
      </c>
      <c r="K179" s="69">
        <f t="shared" si="55"/>
        <v>14806.8</v>
      </c>
      <c r="L179" s="6">
        <v>0.5</v>
      </c>
      <c r="M179" s="69">
        <f t="shared" si="56"/>
        <v>12339</v>
      </c>
      <c r="N179" s="6">
        <v>0.2</v>
      </c>
      <c r="O179" s="69">
        <f t="shared" si="57"/>
        <v>4935.6</v>
      </c>
      <c r="P179" s="6">
        <v>0.25</v>
      </c>
      <c r="Q179" s="69">
        <f t="shared" si="58"/>
        <v>6169.5</v>
      </c>
      <c r="R179" s="7">
        <v>0.36</v>
      </c>
      <c r="S179" s="69">
        <f t="shared" si="59"/>
        <v>8884.079999999998</v>
      </c>
      <c r="T179" s="21">
        <v>0.2</v>
      </c>
      <c r="U179" s="69">
        <f t="shared" si="46"/>
        <v>4935.6</v>
      </c>
      <c r="V179" s="6">
        <f t="shared" si="68"/>
        <v>34</v>
      </c>
      <c r="W179" s="3" t="s">
        <v>91</v>
      </c>
      <c r="X179" s="80">
        <v>2056.5</v>
      </c>
      <c r="Y179" s="6">
        <v>0.6</v>
      </c>
      <c r="Z179" s="69">
        <f t="shared" si="60"/>
        <v>14806.8</v>
      </c>
      <c r="AA179" s="21">
        <v>0.35</v>
      </c>
      <c r="AB179" s="69">
        <f t="shared" si="61"/>
        <v>8637.3</v>
      </c>
      <c r="AC179" s="7">
        <v>0.3</v>
      </c>
      <c r="AD179" s="69">
        <f t="shared" si="62"/>
        <v>7403.4</v>
      </c>
      <c r="AE179" s="21">
        <v>0.2</v>
      </c>
      <c r="AF179" s="69">
        <f t="shared" si="50"/>
        <v>4935.6</v>
      </c>
      <c r="AG179" s="2"/>
      <c r="AH179" s="17"/>
      <c r="AI179" s="2"/>
      <c r="AJ179" s="2"/>
    </row>
    <row r="180" spans="1:36" ht="12.75">
      <c r="A180" s="6">
        <f t="shared" si="66"/>
        <v>168</v>
      </c>
      <c r="B180" s="6">
        <f t="shared" si="67"/>
        <v>35</v>
      </c>
      <c r="C180" s="3" t="s">
        <v>92</v>
      </c>
      <c r="D180" s="43">
        <v>2026.4</v>
      </c>
      <c r="E180" s="7">
        <f t="shared" si="51"/>
        <v>3.66</v>
      </c>
      <c r="F180" s="7">
        <f t="shared" si="52"/>
        <v>3.66</v>
      </c>
      <c r="G180" s="69">
        <f t="shared" si="53"/>
        <v>88999.48800000001</v>
      </c>
      <c r="H180" s="6">
        <v>0.81</v>
      </c>
      <c r="I180" s="69">
        <f t="shared" si="54"/>
        <v>19696.608000000004</v>
      </c>
      <c r="J180" s="6">
        <v>0.57</v>
      </c>
      <c r="K180" s="69">
        <f t="shared" si="55"/>
        <v>13860.576000000001</v>
      </c>
      <c r="L180" s="6">
        <v>0.2</v>
      </c>
      <c r="M180" s="69">
        <f t="shared" si="56"/>
        <v>4863.360000000001</v>
      </c>
      <c r="N180" s="6">
        <v>0.2</v>
      </c>
      <c r="O180" s="69">
        <f t="shared" si="57"/>
        <v>4863.360000000001</v>
      </c>
      <c r="P180" s="6">
        <v>0.25</v>
      </c>
      <c r="Q180" s="69">
        <f t="shared" si="58"/>
        <v>6079.200000000001</v>
      </c>
      <c r="R180" s="7">
        <v>0.36</v>
      </c>
      <c r="S180" s="69">
        <f t="shared" si="59"/>
        <v>8754.048</v>
      </c>
      <c r="T180" s="21">
        <v>0.25</v>
      </c>
      <c r="U180" s="69">
        <f t="shared" si="46"/>
        <v>6079.200000000001</v>
      </c>
      <c r="V180" s="6">
        <f t="shared" si="68"/>
        <v>35</v>
      </c>
      <c r="W180" s="3" t="s">
        <v>92</v>
      </c>
      <c r="X180" s="43">
        <v>2026.4</v>
      </c>
      <c r="Y180" s="6">
        <v>0.22</v>
      </c>
      <c r="Z180" s="69">
        <f t="shared" si="60"/>
        <v>5349.696000000001</v>
      </c>
      <c r="AA180" s="21">
        <v>0.35</v>
      </c>
      <c r="AB180" s="69">
        <f t="shared" si="61"/>
        <v>8510.880000000001</v>
      </c>
      <c r="AC180" s="7">
        <v>0.2</v>
      </c>
      <c r="AD180" s="69">
        <f t="shared" si="62"/>
        <v>4863.360000000001</v>
      </c>
      <c r="AE180" s="21">
        <v>0.25</v>
      </c>
      <c r="AF180" s="69">
        <f t="shared" si="50"/>
        <v>6079.200000000001</v>
      </c>
      <c r="AG180" s="2"/>
      <c r="AH180" s="17"/>
      <c r="AI180" s="2"/>
      <c r="AJ180" s="2"/>
    </row>
    <row r="181" spans="1:36" ht="12.75">
      <c r="A181" s="6">
        <f t="shared" si="66"/>
        <v>169</v>
      </c>
      <c r="B181" s="6">
        <f t="shared" si="67"/>
        <v>36</v>
      </c>
      <c r="C181" s="3" t="s">
        <v>218</v>
      </c>
      <c r="D181" s="43">
        <v>2227.6</v>
      </c>
      <c r="E181" s="7">
        <f t="shared" si="51"/>
        <v>4.42</v>
      </c>
      <c r="F181" s="7">
        <f t="shared" si="52"/>
        <v>4.420000000000001</v>
      </c>
      <c r="G181" s="69">
        <f t="shared" si="53"/>
        <v>118151.90400000001</v>
      </c>
      <c r="H181" s="6">
        <v>0.8</v>
      </c>
      <c r="I181" s="69">
        <f t="shared" si="54"/>
        <v>21384.96</v>
      </c>
      <c r="J181" s="6">
        <v>0.6</v>
      </c>
      <c r="K181" s="69">
        <f t="shared" si="55"/>
        <v>16038.72</v>
      </c>
      <c r="L181" s="6">
        <v>0.5</v>
      </c>
      <c r="M181" s="69">
        <f t="shared" si="56"/>
        <v>13365.599999999999</v>
      </c>
      <c r="N181" s="6">
        <v>0.2</v>
      </c>
      <c r="O181" s="69">
        <f t="shared" si="57"/>
        <v>5346.24</v>
      </c>
      <c r="P181" s="6">
        <v>0.4</v>
      </c>
      <c r="Q181" s="69">
        <f t="shared" si="58"/>
        <v>10692.48</v>
      </c>
      <c r="R181" s="7">
        <v>0.36</v>
      </c>
      <c r="S181" s="69">
        <f t="shared" si="59"/>
        <v>9623.232</v>
      </c>
      <c r="T181" s="21">
        <v>0.2</v>
      </c>
      <c r="U181" s="69">
        <f t="shared" si="46"/>
        <v>5346.24</v>
      </c>
      <c r="V181" s="6">
        <f t="shared" si="68"/>
        <v>36</v>
      </c>
      <c r="W181" s="3" t="s">
        <v>218</v>
      </c>
      <c r="X181" s="43">
        <v>2227.6</v>
      </c>
      <c r="Y181" s="6">
        <v>0.4</v>
      </c>
      <c r="Z181" s="69">
        <f t="shared" si="60"/>
        <v>10692.48</v>
      </c>
      <c r="AA181" s="21">
        <v>0.36</v>
      </c>
      <c r="AB181" s="69">
        <f t="shared" si="61"/>
        <v>9623.232</v>
      </c>
      <c r="AC181" s="7">
        <v>0.4</v>
      </c>
      <c r="AD181" s="69">
        <f t="shared" si="62"/>
        <v>10692.48</v>
      </c>
      <c r="AE181" s="21">
        <v>0.2</v>
      </c>
      <c r="AF181" s="69">
        <f t="shared" si="50"/>
        <v>5346.24</v>
      </c>
      <c r="AG181" s="2"/>
      <c r="AH181" s="17"/>
      <c r="AI181" s="2"/>
      <c r="AJ181" s="2"/>
    </row>
    <row r="182" spans="1:36" ht="12.75">
      <c r="A182" s="6">
        <f t="shared" si="66"/>
        <v>170</v>
      </c>
      <c r="B182" s="6">
        <f t="shared" si="67"/>
        <v>37</v>
      </c>
      <c r="C182" s="3" t="s">
        <v>93</v>
      </c>
      <c r="D182" s="43">
        <v>4252.9</v>
      </c>
      <c r="E182" s="7">
        <f t="shared" si="51"/>
        <v>4.800000000000001</v>
      </c>
      <c r="F182" s="7">
        <f t="shared" si="52"/>
        <v>4.8</v>
      </c>
      <c r="G182" s="69">
        <f t="shared" si="53"/>
        <v>244967.03999999995</v>
      </c>
      <c r="H182" s="6">
        <v>0.9</v>
      </c>
      <c r="I182" s="69">
        <f t="shared" si="54"/>
        <v>45931.31999999999</v>
      </c>
      <c r="J182" s="6">
        <v>0.7</v>
      </c>
      <c r="K182" s="69">
        <f t="shared" si="55"/>
        <v>35724.36</v>
      </c>
      <c r="L182" s="6">
        <v>0.7</v>
      </c>
      <c r="M182" s="69">
        <f t="shared" si="56"/>
        <v>35724.36</v>
      </c>
      <c r="N182" s="6">
        <v>0</v>
      </c>
      <c r="O182" s="69">
        <f t="shared" si="57"/>
        <v>0</v>
      </c>
      <c r="P182" s="6">
        <v>0.4</v>
      </c>
      <c r="Q182" s="69">
        <f t="shared" si="58"/>
        <v>20413.92</v>
      </c>
      <c r="R182" s="7">
        <v>0.36</v>
      </c>
      <c r="S182" s="69">
        <f t="shared" si="59"/>
        <v>18372.528</v>
      </c>
      <c r="T182" s="21">
        <v>0.2</v>
      </c>
      <c r="U182" s="69">
        <f t="shared" si="46"/>
        <v>10206.96</v>
      </c>
      <c r="V182" s="6">
        <f t="shared" si="68"/>
        <v>37</v>
      </c>
      <c r="W182" s="3" t="s">
        <v>93</v>
      </c>
      <c r="X182" s="43">
        <v>4252.9</v>
      </c>
      <c r="Y182" s="6">
        <v>0.6</v>
      </c>
      <c r="Z182" s="69">
        <f t="shared" si="60"/>
        <v>30620.879999999997</v>
      </c>
      <c r="AA182" s="21">
        <v>0.34</v>
      </c>
      <c r="AB182" s="69">
        <f t="shared" si="61"/>
        <v>17351.832</v>
      </c>
      <c r="AC182" s="7">
        <v>0.4</v>
      </c>
      <c r="AD182" s="69">
        <f t="shared" si="62"/>
        <v>20413.92</v>
      </c>
      <c r="AE182" s="21">
        <v>0.2</v>
      </c>
      <c r="AF182" s="69">
        <f t="shared" si="50"/>
        <v>10206.96</v>
      </c>
      <c r="AG182" s="2"/>
      <c r="AH182" s="17"/>
      <c r="AI182" s="2"/>
      <c r="AJ182" s="2"/>
    </row>
    <row r="183" spans="1:36" ht="12.75">
      <c r="A183" s="6">
        <f t="shared" si="66"/>
        <v>171</v>
      </c>
      <c r="B183" s="6">
        <f t="shared" si="67"/>
        <v>38</v>
      </c>
      <c r="C183" s="3" t="s">
        <v>219</v>
      </c>
      <c r="D183" s="43">
        <v>2240.6</v>
      </c>
      <c r="E183" s="7">
        <f t="shared" si="51"/>
        <v>3.7399999999999998</v>
      </c>
      <c r="F183" s="7">
        <f t="shared" si="52"/>
        <v>3.7400000000000007</v>
      </c>
      <c r="G183" s="69">
        <f t="shared" si="53"/>
        <v>100558.12800000001</v>
      </c>
      <c r="H183" s="6">
        <v>0.76</v>
      </c>
      <c r="I183" s="69">
        <f t="shared" si="54"/>
        <v>20434.272</v>
      </c>
      <c r="J183" s="6">
        <v>0.6</v>
      </c>
      <c r="K183" s="69">
        <f t="shared" si="55"/>
        <v>16132.32</v>
      </c>
      <c r="L183" s="6">
        <v>0.3</v>
      </c>
      <c r="M183" s="69">
        <f t="shared" si="56"/>
        <v>8066.16</v>
      </c>
      <c r="N183" s="6">
        <v>0</v>
      </c>
      <c r="O183" s="69">
        <f t="shared" si="57"/>
        <v>0</v>
      </c>
      <c r="P183" s="6">
        <v>0.3</v>
      </c>
      <c r="Q183" s="69">
        <f t="shared" si="58"/>
        <v>8066.16</v>
      </c>
      <c r="R183" s="7">
        <v>0.36</v>
      </c>
      <c r="S183" s="69">
        <f t="shared" si="59"/>
        <v>9679.392</v>
      </c>
      <c r="T183" s="21">
        <v>0.25</v>
      </c>
      <c r="U183" s="69">
        <f t="shared" si="46"/>
        <v>6721.799999999999</v>
      </c>
      <c r="V183" s="6">
        <f t="shared" si="68"/>
        <v>38</v>
      </c>
      <c r="W183" s="3" t="s">
        <v>219</v>
      </c>
      <c r="X183" s="43">
        <v>2240.6</v>
      </c>
      <c r="Y183" s="6">
        <v>0.3</v>
      </c>
      <c r="Z183" s="69">
        <f t="shared" si="60"/>
        <v>8066.16</v>
      </c>
      <c r="AA183" s="21">
        <v>0.37</v>
      </c>
      <c r="AB183" s="69">
        <f t="shared" si="61"/>
        <v>9948.264</v>
      </c>
      <c r="AC183" s="7">
        <v>0.25</v>
      </c>
      <c r="AD183" s="69">
        <f t="shared" si="62"/>
        <v>6721.799999999999</v>
      </c>
      <c r="AE183" s="21">
        <v>0.25</v>
      </c>
      <c r="AF183" s="69">
        <f t="shared" si="50"/>
        <v>6721.799999999999</v>
      </c>
      <c r="AG183" s="2"/>
      <c r="AH183" s="17"/>
      <c r="AI183" s="2"/>
      <c r="AJ183" s="2"/>
    </row>
    <row r="184" spans="1:36" ht="12.75">
      <c r="A184" s="6">
        <f t="shared" si="66"/>
        <v>172</v>
      </c>
      <c r="B184" s="6">
        <f t="shared" si="67"/>
        <v>39</v>
      </c>
      <c r="C184" s="3" t="s">
        <v>94</v>
      </c>
      <c r="D184" s="170">
        <v>2086</v>
      </c>
      <c r="E184" s="7">
        <f t="shared" si="51"/>
        <v>3.35</v>
      </c>
      <c r="F184" s="7">
        <f t="shared" si="52"/>
        <v>3.349999999999999</v>
      </c>
      <c r="G184" s="69">
        <f t="shared" si="53"/>
        <v>83857.19999999998</v>
      </c>
      <c r="H184" s="6">
        <v>0.8</v>
      </c>
      <c r="I184" s="69">
        <f t="shared" si="54"/>
        <v>20025.600000000002</v>
      </c>
      <c r="J184" s="6">
        <v>0.6</v>
      </c>
      <c r="K184" s="69">
        <f t="shared" si="55"/>
        <v>15019.199999999999</v>
      </c>
      <c r="L184" s="6">
        <v>0.3</v>
      </c>
      <c r="M184" s="69">
        <f t="shared" si="56"/>
        <v>7509.599999999999</v>
      </c>
      <c r="N184" s="6">
        <v>0</v>
      </c>
      <c r="O184" s="69">
        <f t="shared" si="57"/>
        <v>0</v>
      </c>
      <c r="P184" s="6">
        <v>0.3</v>
      </c>
      <c r="Q184" s="69">
        <f t="shared" si="58"/>
        <v>7509.599999999999</v>
      </c>
      <c r="R184" s="7">
        <v>0.36</v>
      </c>
      <c r="S184" s="69">
        <f t="shared" si="59"/>
        <v>9011.519999999999</v>
      </c>
      <c r="T184" s="21">
        <v>0.1</v>
      </c>
      <c r="U184" s="69">
        <f t="shared" si="46"/>
        <v>2503.2000000000003</v>
      </c>
      <c r="V184" s="6">
        <f t="shared" si="68"/>
        <v>39</v>
      </c>
      <c r="W184" s="3" t="s">
        <v>94</v>
      </c>
      <c r="X184" s="170">
        <v>2086</v>
      </c>
      <c r="Y184" s="6">
        <v>0.3</v>
      </c>
      <c r="Z184" s="69">
        <f t="shared" si="60"/>
        <v>7509.599999999999</v>
      </c>
      <c r="AA184" s="21">
        <v>0.29</v>
      </c>
      <c r="AB184" s="69">
        <f t="shared" si="61"/>
        <v>7259.279999999999</v>
      </c>
      <c r="AC184" s="7">
        <v>0.2</v>
      </c>
      <c r="AD184" s="69">
        <f t="shared" si="62"/>
        <v>5006.400000000001</v>
      </c>
      <c r="AE184" s="21">
        <v>0.1</v>
      </c>
      <c r="AF184" s="69">
        <f t="shared" si="50"/>
        <v>2503.2000000000003</v>
      </c>
      <c r="AG184" s="2"/>
      <c r="AH184" s="17"/>
      <c r="AI184" s="2"/>
      <c r="AJ184" s="2"/>
    </row>
    <row r="185" spans="1:36" ht="12.75">
      <c r="A185" s="6">
        <f t="shared" si="66"/>
        <v>173</v>
      </c>
      <c r="B185" s="6">
        <f t="shared" si="67"/>
        <v>40</v>
      </c>
      <c r="C185" s="3" t="s">
        <v>220</v>
      </c>
      <c r="D185" s="170">
        <v>1306</v>
      </c>
      <c r="E185" s="7">
        <f t="shared" si="51"/>
        <v>4.08</v>
      </c>
      <c r="F185" s="7">
        <f t="shared" si="52"/>
        <v>4.079999999999999</v>
      </c>
      <c r="G185" s="69">
        <f t="shared" si="53"/>
        <v>63941.759999999995</v>
      </c>
      <c r="H185" s="6">
        <v>0.8</v>
      </c>
      <c r="I185" s="69">
        <f t="shared" si="54"/>
        <v>12537.599999999999</v>
      </c>
      <c r="J185" s="6">
        <v>0.7</v>
      </c>
      <c r="K185" s="69">
        <f t="shared" si="55"/>
        <v>10970.4</v>
      </c>
      <c r="L185" s="6">
        <v>0.3</v>
      </c>
      <c r="M185" s="69">
        <f t="shared" si="56"/>
        <v>4701.6</v>
      </c>
      <c r="N185" s="6">
        <v>0</v>
      </c>
      <c r="O185" s="69">
        <f t="shared" si="57"/>
        <v>0</v>
      </c>
      <c r="P185" s="6">
        <v>0.4</v>
      </c>
      <c r="Q185" s="69">
        <f t="shared" si="58"/>
        <v>6268.799999999999</v>
      </c>
      <c r="R185" s="7">
        <v>0.36</v>
      </c>
      <c r="S185" s="69">
        <f t="shared" si="59"/>
        <v>5641.92</v>
      </c>
      <c r="T185" s="21">
        <v>0.25</v>
      </c>
      <c r="U185" s="69">
        <f t="shared" si="46"/>
        <v>3918</v>
      </c>
      <c r="V185" s="6">
        <f t="shared" si="68"/>
        <v>40</v>
      </c>
      <c r="W185" s="3" t="s">
        <v>220</v>
      </c>
      <c r="X185" s="170">
        <v>1306</v>
      </c>
      <c r="Y185" s="6">
        <v>0.4</v>
      </c>
      <c r="Z185" s="69">
        <f t="shared" si="60"/>
        <v>6268.799999999999</v>
      </c>
      <c r="AA185" s="21">
        <v>0.37</v>
      </c>
      <c r="AB185" s="69">
        <f t="shared" si="61"/>
        <v>5798.639999999999</v>
      </c>
      <c r="AC185" s="7">
        <v>0.25</v>
      </c>
      <c r="AD185" s="69">
        <f t="shared" si="62"/>
        <v>3918</v>
      </c>
      <c r="AE185" s="21">
        <v>0.25</v>
      </c>
      <c r="AF185" s="69">
        <f t="shared" si="50"/>
        <v>3918</v>
      </c>
      <c r="AG185" s="2"/>
      <c r="AH185" s="17"/>
      <c r="AI185" s="2"/>
      <c r="AJ185" s="2"/>
    </row>
    <row r="186" spans="1:36" ht="12.75">
      <c r="A186" s="6">
        <f t="shared" si="66"/>
        <v>174</v>
      </c>
      <c r="B186" s="6">
        <f t="shared" si="67"/>
        <v>41</v>
      </c>
      <c r="C186" s="3" t="s">
        <v>221</v>
      </c>
      <c r="D186" s="43">
        <v>1314.9</v>
      </c>
      <c r="E186" s="7">
        <f t="shared" si="51"/>
        <v>4.31</v>
      </c>
      <c r="F186" s="7">
        <f t="shared" si="52"/>
        <v>4.31</v>
      </c>
      <c r="G186" s="69">
        <f t="shared" si="53"/>
        <v>68006.628</v>
      </c>
      <c r="H186" s="6">
        <v>0.8</v>
      </c>
      <c r="I186" s="69">
        <f t="shared" si="54"/>
        <v>12623.04</v>
      </c>
      <c r="J186" s="6">
        <v>0.7</v>
      </c>
      <c r="K186" s="69">
        <f t="shared" si="55"/>
        <v>11045.16</v>
      </c>
      <c r="L186" s="6">
        <v>0.4</v>
      </c>
      <c r="M186" s="69">
        <f t="shared" si="56"/>
        <v>6311.52</v>
      </c>
      <c r="N186" s="6">
        <v>0</v>
      </c>
      <c r="O186" s="69">
        <f t="shared" si="57"/>
        <v>0</v>
      </c>
      <c r="P186" s="6">
        <v>0.4</v>
      </c>
      <c r="Q186" s="69">
        <f t="shared" si="58"/>
        <v>6311.52</v>
      </c>
      <c r="R186" s="7">
        <v>0.36</v>
      </c>
      <c r="S186" s="69">
        <f t="shared" si="59"/>
        <v>5680.368</v>
      </c>
      <c r="T186" s="21">
        <v>0.25</v>
      </c>
      <c r="U186" s="69">
        <f t="shared" si="46"/>
        <v>3944.7000000000003</v>
      </c>
      <c r="V186" s="6">
        <f t="shared" si="68"/>
        <v>41</v>
      </c>
      <c r="W186" s="3" t="s">
        <v>221</v>
      </c>
      <c r="X186" s="43">
        <v>1314.9</v>
      </c>
      <c r="Y186" s="6">
        <v>0.4</v>
      </c>
      <c r="Z186" s="69">
        <f t="shared" si="60"/>
        <v>6311.52</v>
      </c>
      <c r="AA186" s="21">
        <v>0.5</v>
      </c>
      <c r="AB186" s="69">
        <f t="shared" si="61"/>
        <v>7889.400000000001</v>
      </c>
      <c r="AC186" s="7">
        <v>0.25</v>
      </c>
      <c r="AD186" s="69">
        <f t="shared" si="62"/>
        <v>3944.7000000000003</v>
      </c>
      <c r="AE186" s="21">
        <v>0.25</v>
      </c>
      <c r="AF186" s="69">
        <f t="shared" si="50"/>
        <v>3944.7000000000003</v>
      </c>
      <c r="AG186" s="2"/>
      <c r="AH186" s="17"/>
      <c r="AI186" s="2"/>
      <c r="AJ186" s="2"/>
    </row>
    <row r="187" spans="1:36" ht="12.75">
      <c r="A187" s="6">
        <f t="shared" si="66"/>
        <v>175</v>
      </c>
      <c r="B187" s="6">
        <f t="shared" si="67"/>
        <v>42</v>
      </c>
      <c r="C187" s="3" t="s">
        <v>95</v>
      </c>
      <c r="D187" s="43">
        <v>5743.2</v>
      </c>
      <c r="E187" s="7">
        <f t="shared" si="51"/>
        <v>4.26</v>
      </c>
      <c r="F187" s="7">
        <f t="shared" si="52"/>
        <v>4.260000000000001</v>
      </c>
      <c r="G187" s="69">
        <f t="shared" si="53"/>
        <v>293592.384</v>
      </c>
      <c r="H187" s="6">
        <v>0.8</v>
      </c>
      <c r="I187" s="69">
        <f t="shared" si="54"/>
        <v>55134.72</v>
      </c>
      <c r="J187" s="6">
        <v>0.7</v>
      </c>
      <c r="K187" s="69">
        <f t="shared" si="55"/>
        <v>48242.88</v>
      </c>
      <c r="L187" s="6">
        <v>0.5</v>
      </c>
      <c r="M187" s="69">
        <f t="shared" si="56"/>
        <v>34459.2</v>
      </c>
      <c r="N187" s="6">
        <v>0.2</v>
      </c>
      <c r="O187" s="69">
        <f t="shared" si="57"/>
        <v>13783.68</v>
      </c>
      <c r="P187" s="6">
        <v>0.4</v>
      </c>
      <c r="Q187" s="69">
        <f t="shared" si="58"/>
        <v>27567.36</v>
      </c>
      <c r="R187" s="7">
        <v>0.36</v>
      </c>
      <c r="S187" s="69">
        <f t="shared" si="59"/>
        <v>24810.623999999996</v>
      </c>
      <c r="T187" s="21">
        <v>0.2</v>
      </c>
      <c r="U187" s="69">
        <f t="shared" si="46"/>
        <v>13783.68</v>
      </c>
      <c r="V187" s="6">
        <f t="shared" si="68"/>
        <v>42</v>
      </c>
      <c r="W187" s="3" t="s">
        <v>95</v>
      </c>
      <c r="X187" s="43">
        <v>5743.2</v>
      </c>
      <c r="Y187" s="6">
        <v>0.5</v>
      </c>
      <c r="Z187" s="69">
        <f t="shared" si="60"/>
        <v>34459.2</v>
      </c>
      <c r="AA187" s="21">
        <v>0.3</v>
      </c>
      <c r="AB187" s="69">
        <f t="shared" si="61"/>
        <v>20675.519999999997</v>
      </c>
      <c r="AC187" s="7">
        <v>0.1</v>
      </c>
      <c r="AD187" s="69">
        <f t="shared" si="62"/>
        <v>6891.84</v>
      </c>
      <c r="AE187" s="21">
        <v>0.2</v>
      </c>
      <c r="AF187" s="69">
        <f t="shared" si="50"/>
        <v>13783.68</v>
      </c>
      <c r="AG187" s="2"/>
      <c r="AH187" s="17"/>
      <c r="AI187" s="2"/>
      <c r="AJ187" s="2"/>
    </row>
    <row r="188" spans="1:36" ht="12.75">
      <c r="A188" s="6">
        <f t="shared" si="66"/>
        <v>176</v>
      </c>
      <c r="B188" s="6">
        <f t="shared" si="67"/>
        <v>43</v>
      </c>
      <c r="C188" s="3" t="s">
        <v>96</v>
      </c>
      <c r="D188" s="43">
        <v>1149.7</v>
      </c>
      <c r="E188" s="7">
        <f t="shared" si="51"/>
        <v>3.5100000000000007</v>
      </c>
      <c r="F188" s="7">
        <f t="shared" si="52"/>
        <v>3.5099999999999993</v>
      </c>
      <c r="G188" s="69">
        <f t="shared" si="53"/>
        <v>48425.36399999999</v>
      </c>
      <c r="H188" s="6">
        <v>0.8</v>
      </c>
      <c r="I188" s="69">
        <f t="shared" si="54"/>
        <v>11037.12</v>
      </c>
      <c r="J188" s="6">
        <v>0.7</v>
      </c>
      <c r="K188" s="69">
        <f t="shared" si="55"/>
        <v>9657.48</v>
      </c>
      <c r="L188" s="6">
        <v>0.2</v>
      </c>
      <c r="M188" s="69">
        <f t="shared" si="56"/>
        <v>2759.28</v>
      </c>
      <c r="N188" s="6">
        <v>0</v>
      </c>
      <c r="O188" s="69">
        <f t="shared" si="57"/>
        <v>0</v>
      </c>
      <c r="P188" s="6">
        <v>0.1</v>
      </c>
      <c r="Q188" s="69">
        <f t="shared" si="58"/>
        <v>1379.64</v>
      </c>
      <c r="R188" s="7">
        <v>0.36</v>
      </c>
      <c r="S188" s="69">
        <f t="shared" si="59"/>
        <v>4966.704</v>
      </c>
      <c r="T188" s="21">
        <v>0.2</v>
      </c>
      <c r="U188" s="69">
        <f t="shared" si="46"/>
        <v>2759.28</v>
      </c>
      <c r="V188" s="6">
        <f t="shared" si="68"/>
        <v>43</v>
      </c>
      <c r="W188" s="3" t="s">
        <v>96</v>
      </c>
      <c r="X188" s="43">
        <v>1149.7</v>
      </c>
      <c r="Y188" s="6">
        <v>0.4</v>
      </c>
      <c r="Z188" s="69">
        <f t="shared" si="60"/>
        <v>5518.56</v>
      </c>
      <c r="AA188" s="21">
        <v>0.35</v>
      </c>
      <c r="AB188" s="69">
        <f t="shared" si="61"/>
        <v>4828.74</v>
      </c>
      <c r="AC188" s="7">
        <v>0.2</v>
      </c>
      <c r="AD188" s="69">
        <f t="shared" si="62"/>
        <v>2759.28</v>
      </c>
      <c r="AE188" s="21">
        <v>0.2</v>
      </c>
      <c r="AF188" s="69">
        <f t="shared" si="50"/>
        <v>2759.28</v>
      </c>
      <c r="AG188" s="2"/>
      <c r="AH188" s="17"/>
      <c r="AI188" s="2"/>
      <c r="AJ188" s="2"/>
    </row>
    <row r="189" spans="1:36" ht="12.75">
      <c r="A189" s="6">
        <f t="shared" si="66"/>
        <v>177</v>
      </c>
      <c r="B189" s="6">
        <f t="shared" si="67"/>
        <v>44</v>
      </c>
      <c r="C189" s="3" t="s">
        <v>97</v>
      </c>
      <c r="D189" s="43">
        <v>4127.8</v>
      </c>
      <c r="E189" s="7">
        <f t="shared" si="51"/>
        <v>4.83</v>
      </c>
      <c r="F189" s="7">
        <f t="shared" si="52"/>
        <v>4.83</v>
      </c>
      <c r="G189" s="69">
        <f t="shared" si="53"/>
        <v>239247.288</v>
      </c>
      <c r="H189" s="6">
        <v>0.9</v>
      </c>
      <c r="I189" s="69">
        <f t="shared" si="54"/>
        <v>44580.240000000005</v>
      </c>
      <c r="J189" s="6">
        <v>0.7</v>
      </c>
      <c r="K189" s="69">
        <f t="shared" si="55"/>
        <v>34673.520000000004</v>
      </c>
      <c r="L189" s="6">
        <v>0.6</v>
      </c>
      <c r="M189" s="69">
        <f t="shared" si="56"/>
        <v>29720.159999999996</v>
      </c>
      <c r="N189" s="6">
        <v>0.2</v>
      </c>
      <c r="O189" s="69">
        <f t="shared" si="57"/>
        <v>9906.720000000001</v>
      </c>
      <c r="P189" s="6">
        <v>0.4</v>
      </c>
      <c r="Q189" s="69">
        <f t="shared" si="58"/>
        <v>19813.440000000002</v>
      </c>
      <c r="R189" s="7">
        <v>0.36</v>
      </c>
      <c r="S189" s="69">
        <f t="shared" si="59"/>
        <v>17832.096</v>
      </c>
      <c r="T189" s="21">
        <v>0.25</v>
      </c>
      <c r="U189" s="69">
        <f t="shared" si="46"/>
        <v>12383.400000000001</v>
      </c>
      <c r="V189" s="6">
        <f t="shared" si="68"/>
        <v>44</v>
      </c>
      <c r="W189" s="3" t="s">
        <v>97</v>
      </c>
      <c r="X189" s="43">
        <v>4127.8</v>
      </c>
      <c r="Y189" s="6">
        <v>0.6</v>
      </c>
      <c r="Z189" s="69">
        <f t="shared" si="60"/>
        <v>29720.159999999996</v>
      </c>
      <c r="AA189" s="21">
        <v>0.37</v>
      </c>
      <c r="AB189" s="69">
        <f t="shared" si="61"/>
        <v>18327.432</v>
      </c>
      <c r="AC189" s="7">
        <v>0.2</v>
      </c>
      <c r="AD189" s="69">
        <f t="shared" si="62"/>
        <v>9906.720000000001</v>
      </c>
      <c r="AE189" s="21">
        <v>0.25</v>
      </c>
      <c r="AF189" s="69">
        <f t="shared" si="50"/>
        <v>12383.400000000001</v>
      </c>
      <c r="AG189" s="2"/>
      <c r="AH189" s="17"/>
      <c r="AI189" s="2"/>
      <c r="AJ189" s="2"/>
    </row>
    <row r="190" spans="1:36" ht="12.75">
      <c r="A190" s="6">
        <f t="shared" si="66"/>
        <v>178</v>
      </c>
      <c r="B190" s="6">
        <f t="shared" si="67"/>
        <v>45</v>
      </c>
      <c r="C190" s="3" t="s">
        <v>222</v>
      </c>
      <c r="D190" s="43">
        <v>6221.7</v>
      </c>
      <c r="E190" s="7">
        <f t="shared" si="51"/>
        <v>3.9500000000000006</v>
      </c>
      <c r="F190" s="7">
        <f t="shared" si="52"/>
        <v>3.950000000000001</v>
      </c>
      <c r="G190" s="69">
        <f t="shared" si="53"/>
        <v>294908.5800000001</v>
      </c>
      <c r="H190" s="6">
        <v>0.8</v>
      </c>
      <c r="I190" s="69">
        <f t="shared" si="54"/>
        <v>59728.32000000001</v>
      </c>
      <c r="J190" s="6">
        <v>0.6</v>
      </c>
      <c r="K190" s="69">
        <f t="shared" si="55"/>
        <v>44796.23999999999</v>
      </c>
      <c r="L190" s="6">
        <v>0.5</v>
      </c>
      <c r="M190" s="69">
        <f t="shared" si="56"/>
        <v>37330.2</v>
      </c>
      <c r="N190" s="6">
        <v>0.2</v>
      </c>
      <c r="O190" s="69">
        <f t="shared" si="57"/>
        <v>14932.080000000002</v>
      </c>
      <c r="P190" s="6">
        <v>0.4</v>
      </c>
      <c r="Q190" s="69">
        <f t="shared" si="58"/>
        <v>29864.160000000003</v>
      </c>
      <c r="R190" s="7">
        <v>0.36</v>
      </c>
      <c r="S190" s="69">
        <f t="shared" si="59"/>
        <v>26877.744</v>
      </c>
      <c r="T190" s="21">
        <v>0.2</v>
      </c>
      <c r="U190" s="69">
        <f t="shared" si="46"/>
        <v>14932.080000000002</v>
      </c>
      <c r="V190" s="6">
        <f t="shared" si="68"/>
        <v>45</v>
      </c>
      <c r="W190" s="3" t="s">
        <v>222</v>
      </c>
      <c r="X190" s="43">
        <v>6221.7</v>
      </c>
      <c r="Y190" s="6">
        <v>0.2</v>
      </c>
      <c r="Z190" s="69">
        <f t="shared" si="60"/>
        <v>14932.080000000002</v>
      </c>
      <c r="AA190" s="21">
        <v>0.29</v>
      </c>
      <c r="AB190" s="69">
        <f t="shared" si="61"/>
        <v>21651.516</v>
      </c>
      <c r="AC190" s="7">
        <v>0.2</v>
      </c>
      <c r="AD190" s="69">
        <f t="shared" si="62"/>
        <v>14932.080000000002</v>
      </c>
      <c r="AE190" s="21">
        <v>0.2</v>
      </c>
      <c r="AF190" s="69">
        <f t="shared" si="50"/>
        <v>14932.080000000002</v>
      </c>
      <c r="AG190" s="2"/>
      <c r="AH190" s="17"/>
      <c r="AI190" s="2"/>
      <c r="AJ190" s="2"/>
    </row>
    <row r="191" spans="2:36" ht="12.75">
      <c r="B191" s="6"/>
      <c r="C191" s="25" t="s">
        <v>98</v>
      </c>
      <c r="D191" s="178">
        <f>SUM(D192:D242)</f>
        <v>142928.28000000003</v>
      </c>
      <c r="E191" s="32">
        <f t="shared" si="51"/>
        <v>3.186719676469904</v>
      </c>
      <c r="F191" s="32">
        <f>G191/D191/12</f>
        <v>3.1867196764699046</v>
      </c>
      <c r="G191" s="70">
        <f>SUM(G192:G241)</f>
        <v>5465668.3464</v>
      </c>
      <c r="H191" s="26">
        <f>I191/$D$191/12</f>
        <v>0.4913231685150062</v>
      </c>
      <c r="I191" s="70">
        <f>SUM(I192:I241)</f>
        <v>842687.7048000001</v>
      </c>
      <c r="J191" s="26">
        <f>K191/$D$191/12</f>
        <v>0.3597476510596784</v>
      </c>
      <c r="K191" s="70">
        <f>SUM(K192:K241)</f>
        <v>617017.3560000001</v>
      </c>
      <c r="L191" s="26">
        <f>M191/$D$191/12</f>
        <v>0.26065189478247414</v>
      </c>
      <c r="M191" s="70">
        <f>SUM(M192:M241)</f>
        <v>447054.3240000001</v>
      </c>
      <c r="N191" s="26">
        <f>O191/$D$191/12</f>
        <v>0.23177511126559416</v>
      </c>
      <c r="O191" s="70">
        <f>SUM(O192:O241)</f>
        <v>397526.61600000004</v>
      </c>
      <c r="P191" s="26">
        <f>Q191/$D$191/12</f>
        <v>0.22492974798269452</v>
      </c>
      <c r="Q191" s="70">
        <f>SUM(Q192:Q241)</f>
        <v>385785.86400000006</v>
      </c>
      <c r="R191" s="26">
        <f>S191/$D$191/12</f>
        <v>0.3557868939582843</v>
      </c>
      <c r="S191" s="70">
        <f>SUM(S192:S241)</f>
        <v>610224.1055999997</v>
      </c>
      <c r="T191" s="26">
        <f>U191/$D$191/12</f>
        <v>0.14207571797547688</v>
      </c>
      <c r="U191" s="70">
        <f>SUM(U192:U241)</f>
        <v>243679.656</v>
      </c>
      <c r="V191" s="6"/>
      <c r="W191" s="25" t="s">
        <v>98</v>
      </c>
      <c r="X191" s="178">
        <f>SUM(X192:X242)</f>
        <v>142928.28000000003</v>
      </c>
      <c r="Y191" s="26">
        <f>Z191/$D$191/12</f>
        <v>0.3032544644069038</v>
      </c>
      <c r="Z191" s="70">
        <f>SUM(Z192:Z241)</f>
        <v>520123.6679999999</v>
      </c>
      <c r="AA191" s="26">
        <f>AB191/$D$191/12</f>
        <v>0.4054896903537913</v>
      </c>
      <c r="AB191" s="70">
        <f>SUM(AB192:AB241)</f>
        <v>695471.328</v>
      </c>
      <c r="AC191" s="26">
        <f>AD191/$D$191/12</f>
        <v>0.27145110820615753</v>
      </c>
      <c r="AD191" s="70">
        <f>SUM(AD192:AD241)</f>
        <v>465576.4799999999</v>
      </c>
      <c r="AE191" s="26">
        <f>AF191/$D$191/12</f>
        <v>0.1402342279638431</v>
      </c>
      <c r="AF191" s="70">
        <f>SUM(AF192:AF241)</f>
        <v>240521.244</v>
      </c>
      <c r="AG191" s="26">
        <f>AH191/$D$191/12</f>
        <v>0.0199829872716582</v>
      </c>
      <c r="AH191" s="70">
        <f>SUM(AH192:AH241)</f>
        <v>34273.608</v>
      </c>
      <c r="AI191" s="21"/>
      <c r="AJ191" s="70"/>
    </row>
    <row r="192" spans="1:36" ht="12.75">
      <c r="A192" s="6">
        <f>A190+1</f>
        <v>179</v>
      </c>
      <c r="B192" s="6">
        <v>1</v>
      </c>
      <c r="C192" s="3" t="s">
        <v>168</v>
      </c>
      <c r="D192" s="43">
        <v>812.5</v>
      </c>
      <c r="E192" s="7">
        <f>H192+J192+L192+N192+P192+R192+T192+Y192+AA192+AC192+AE192</f>
        <v>3.03</v>
      </c>
      <c r="F192" s="7">
        <f>G192/D192/12</f>
        <v>3.03</v>
      </c>
      <c r="G192" s="69">
        <f>I192+K192+M192+O192+Q192+S192+U192+Z192+AD192+AF192+AB192</f>
        <v>29542.5</v>
      </c>
      <c r="H192" s="7">
        <v>0.51</v>
      </c>
      <c r="I192" s="69">
        <f aca="true" t="shared" si="69" ref="I192:I200">H192*D192*12</f>
        <v>4972.5</v>
      </c>
      <c r="J192" s="7">
        <v>0.4</v>
      </c>
      <c r="K192" s="69">
        <f aca="true" t="shared" si="70" ref="K192:K208">J192*D192*12</f>
        <v>3900</v>
      </c>
      <c r="L192" s="7">
        <v>0.26</v>
      </c>
      <c r="M192" s="69">
        <f aca="true" t="shared" si="71" ref="M192:M200">D192*L192*12</f>
        <v>2535</v>
      </c>
      <c r="N192" s="7">
        <v>0.2</v>
      </c>
      <c r="O192" s="69">
        <f aca="true" t="shared" si="72" ref="O192:O200">N192*D192*12</f>
        <v>1950</v>
      </c>
      <c r="P192" s="7">
        <v>0.2</v>
      </c>
      <c r="Q192" s="69">
        <f aca="true" t="shared" si="73" ref="Q192:Q200">P192*D192*12</f>
        <v>1950</v>
      </c>
      <c r="R192" s="7">
        <v>0.36</v>
      </c>
      <c r="S192" s="69">
        <f aca="true" t="shared" si="74" ref="S192:S200">R192*D192*12</f>
        <v>3510</v>
      </c>
      <c r="T192" s="7">
        <v>0.1</v>
      </c>
      <c r="U192" s="69">
        <f t="shared" si="46"/>
        <v>975</v>
      </c>
      <c r="V192" s="6">
        <v>1</v>
      </c>
      <c r="W192" s="3" t="s">
        <v>168</v>
      </c>
      <c r="X192" s="43">
        <v>812.5</v>
      </c>
      <c r="Y192" s="6">
        <v>0.2</v>
      </c>
      <c r="Z192" s="69">
        <f aca="true" t="shared" si="75" ref="Z192:Z200">Y192*D192*12</f>
        <v>1950</v>
      </c>
      <c r="AA192" s="7">
        <v>0.4</v>
      </c>
      <c r="AB192" s="69">
        <f aca="true" t="shared" si="76" ref="AB192:AB200">AA192*D192*12</f>
        <v>3900</v>
      </c>
      <c r="AC192" s="7">
        <v>0.3</v>
      </c>
      <c r="AD192" s="69">
        <f aca="true" t="shared" si="77" ref="AD192:AD200">AC192*D192*12</f>
        <v>2925</v>
      </c>
      <c r="AE192" s="7">
        <v>0.1</v>
      </c>
      <c r="AF192" s="69">
        <f t="shared" si="50"/>
        <v>975</v>
      </c>
      <c r="AG192" s="2"/>
      <c r="AH192" s="17"/>
      <c r="AI192" s="2"/>
      <c r="AJ192" s="2"/>
    </row>
    <row r="193" spans="1:36" ht="12.75">
      <c r="A193" s="6">
        <f>A192+1</f>
        <v>180</v>
      </c>
      <c r="B193" s="6">
        <f>B192+1</f>
        <v>2</v>
      </c>
      <c r="C193" s="3" t="s">
        <v>169</v>
      </c>
      <c r="D193" s="43">
        <v>813.2</v>
      </c>
      <c r="E193" s="7">
        <f aca="true" t="shared" si="78" ref="E193:E240">H193+J193+L193+N193+P193+R193+T193+Y193+AA193+AC193+AE193</f>
        <v>3.03</v>
      </c>
      <c r="F193" s="7">
        <f>G193/D193/12</f>
        <v>3.0300000000000007</v>
      </c>
      <c r="G193" s="69">
        <f>I193+K193+M193+O193+Q193+S193+U193+Z193+AD193+AF193+AB193</f>
        <v>29567.952000000005</v>
      </c>
      <c r="H193" s="6">
        <v>0.51</v>
      </c>
      <c r="I193" s="69">
        <f t="shared" si="69"/>
        <v>4976.784000000001</v>
      </c>
      <c r="J193" s="6">
        <v>0.4</v>
      </c>
      <c r="K193" s="69">
        <f t="shared" si="70"/>
        <v>3903.3600000000006</v>
      </c>
      <c r="L193" s="6">
        <v>0.26</v>
      </c>
      <c r="M193" s="69">
        <f t="shared" si="71"/>
        <v>2537.184</v>
      </c>
      <c r="N193" s="6">
        <v>0.2</v>
      </c>
      <c r="O193" s="69">
        <f t="shared" si="72"/>
        <v>1951.6800000000003</v>
      </c>
      <c r="P193" s="6">
        <v>0.2</v>
      </c>
      <c r="Q193" s="69">
        <f t="shared" si="73"/>
        <v>1951.6800000000003</v>
      </c>
      <c r="R193" s="7">
        <v>0.36</v>
      </c>
      <c r="S193" s="69">
        <f t="shared" si="74"/>
        <v>3513.0240000000003</v>
      </c>
      <c r="T193" s="7">
        <v>0.1</v>
      </c>
      <c r="U193" s="69">
        <f t="shared" si="46"/>
        <v>975.8400000000001</v>
      </c>
      <c r="V193" s="6">
        <f>V192+1</f>
        <v>2</v>
      </c>
      <c r="W193" s="3" t="s">
        <v>169</v>
      </c>
      <c r="X193" s="43">
        <v>813.2</v>
      </c>
      <c r="Y193" s="6">
        <v>0.2</v>
      </c>
      <c r="Z193" s="69">
        <f t="shared" si="75"/>
        <v>1951.6800000000003</v>
      </c>
      <c r="AA193" s="2">
        <v>0.4</v>
      </c>
      <c r="AB193" s="69">
        <f t="shared" si="76"/>
        <v>3903.3600000000006</v>
      </c>
      <c r="AC193" s="7">
        <v>0.3</v>
      </c>
      <c r="AD193" s="69">
        <f t="shared" si="77"/>
        <v>2927.52</v>
      </c>
      <c r="AE193" s="6">
        <v>0.1</v>
      </c>
      <c r="AF193" s="69">
        <f t="shared" si="50"/>
        <v>975.8400000000001</v>
      </c>
      <c r="AG193" s="2"/>
      <c r="AH193" s="17"/>
      <c r="AI193" s="2"/>
      <c r="AJ193" s="2"/>
    </row>
    <row r="194" spans="1:36" ht="12.75">
      <c r="A194" s="6">
        <f>A193+1</f>
        <v>181</v>
      </c>
      <c r="B194" s="6">
        <f>B193+1</f>
        <v>3</v>
      </c>
      <c r="C194" s="3" t="s">
        <v>240</v>
      </c>
      <c r="D194" s="43">
        <v>1249.6</v>
      </c>
      <c r="E194" s="7">
        <f t="shared" si="78"/>
        <v>3.4400000000000004</v>
      </c>
      <c r="F194" s="7">
        <f>G194/D194/12</f>
        <v>3.4399999999999995</v>
      </c>
      <c r="G194" s="69">
        <f aca="true" t="shared" si="79" ref="G194:G241">I194+K194+M194+O194+Q194+S194+U194+Z194+AD194+AF194+AB194</f>
        <v>51583.48799999999</v>
      </c>
      <c r="H194" s="7">
        <v>0.5</v>
      </c>
      <c r="I194" s="69">
        <f t="shared" si="69"/>
        <v>7497.599999999999</v>
      </c>
      <c r="J194" s="7">
        <v>0.5</v>
      </c>
      <c r="K194" s="69">
        <f t="shared" si="70"/>
        <v>7497.599999999999</v>
      </c>
      <c r="L194" s="7">
        <v>0.2</v>
      </c>
      <c r="M194" s="69">
        <f t="shared" si="71"/>
        <v>2999.04</v>
      </c>
      <c r="N194" s="7">
        <v>0.3</v>
      </c>
      <c r="O194" s="69">
        <f t="shared" si="72"/>
        <v>4498.5599999999995</v>
      </c>
      <c r="P194" s="7">
        <v>0.3</v>
      </c>
      <c r="Q194" s="69">
        <f t="shared" si="73"/>
        <v>4498.5599999999995</v>
      </c>
      <c r="R194" s="7">
        <v>0.36</v>
      </c>
      <c r="S194" s="69">
        <f t="shared" si="74"/>
        <v>5398.271999999999</v>
      </c>
      <c r="T194" s="7">
        <v>0.2</v>
      </c>
      <c r="U194" s="69">
        <f t="shared" si="46"/>
        <v>2999.04</v>
      </c>
      <c r="V194" s="6">
        <f>V193+1</f>
        <v>3</v>
      </c>
      <c r="W194" s="3" t="s">
        <v>240</v>
      </c>
      <c r="X194" s="43">
        <v>1249.6</v>
      </c>
      <c r="Y194" s="6">
        <v>0.3</v>
      </c>
      <c r="Z194" s="69">
        <f t="shared" si="75"/>
        <v>4498.5599999999995</v>
      </c>
      <c r="AA194" s="7">
        <v>0.4</v>
      </c>
      <c r="AB194" s="69">
        <f t="shared" si="76"/>
        <v>5998.08</v>
      </c>
      <c r="AC194" s="7">
        <v>0.18</v>
      </c>
      <c r="AD194" s="69">
        <f t="shared" si="77"/>
        <v>2699.1359999999995</v>
      </c>
      <c r="AE194" s="7">
        <v>0.2</v>
      </c>
      <c r="AF194" s="69">
        <f t="shared" si="50"/>
        <v>2999.04</v>
      </c>
      <c r="AG194" s="2"/>
      <c r="AH194" s="17"/>
      <c r="AI194" s="2"/>
      <c r="AJ194" s="2"/>
    </row>
    <row r="195" spans="1:36" ht="12.75">
      <c r="A195" s="6"/>
      <c r="B195" s="6"/>
      <c r="C195" s="3" t="s">
        <v>239</v>
      </c>
      <c r="D195" s="43">
        <v>4785.7</v>
      </c>
      <c r="E195" s="7">
        <f t="shared" si="78"/>
        <v>7.079999999999999</v>
      </c>
      <c r="F195" s="7">
        <f>G195/D195/12</f>
        <v>7.079999999999999</v>
      </c>
      <c r="G195" s="69">
        <f t="shared" si="79"/>
        <v>406593.072</v>
      </c>
      <c r="H195" s="7">
        <v>0.9</v>
      </c>
      <c r="I195" s="69">
        <f t="shared" si="69"/>
        <v>51685.56</v>
      </c>
      <c r="J195" s="7">
        <v>0.9</v>
      </c>
      <c r="K195" s="69">
        <f t="shared" si="70"/>
        <v>51685.56</v>
      </c>
      <c r="L195" s="7">
        <v>0.5</v>
      </c>
      <c r="M195" s="69">
        <f t="shared" si="71"/>
        <v>28714.199999999997</v>
      </c>
      <c r="N195" s="7">
        <v>0.8</v>
      </c>
      <c r="O195" s="69">
        <f t="shared" si="72"/>
        <v>45942.72</v>
      </c>
      <c r="P195" s="7">
        <v>0.6</v>
      </c>
      <c r="Q195" s="69">
        <f t="shared" si="73"/>
        <v>34457.03999999999</v>
      </c>
      <c r="R195" s="7">
        <v>0.36</v>
      </c>
      <c r="S195" s="69">
        <f t="shared" si="74"/>
        <v>20674.224</v>
      </c>
      <c r="T195" s="7">
        <v>0.3</v>
      </c>
      <c r="U195" s="69">
        <f t="shared" si="46"/>
        <v>17228.519999999997</v>
      </c>
      <c r="V195" s="6"/>
      <c r="W195" s="3" t="s">
        <v>239</v>
      </c>
      <c r="X195" s="43">
        <v>4785.7</v>
      </c>
      <c r="Y195" s="6">
        <v>0.6</v>
      </c>
      <c r="Z195" s="69">
        <f t="shared" si="75"/>
        <v>34457.03999999999</v>
      </c>
      <c r="AA195" s="7">
        <v>1.5</v>
      </c>
      <c r="AB195" s="69">
        <f t="shared" si="76"/>
        <v>86142.59999999999</v>
      </c>
      <c r="AC195" s="7">
        <v>0.3</v>
      </c>
      <c r="AD195" s="69">
        <f t="shared" si="77"/>
        <v>17228.519999999997</v>
      </c>
      <c r="AE195" s="7">
        <v>0.32</v>
      </c>
      <c r="AF195" s="69">
        <f t="shared" si="50"/>
        <v>18377.088</v>
      </c>
      <c r="AG195" s="2"/>
      <c r="AH195" s="17"/>
      <c r="AI195" s="2"/>
      <c r="AJ195" s="2"/>
    </row>
    <row r="196" spans="1:36" ht="12.75">
      <c r="A196" s="6">
        <f>A194+1</f>
        <v>182</v>
      </c>
      <c r="B196" s="6">
        <f>B194+1</f>
        <v>4</v>
      </c>
      <c r="C196" s="3" t="s">
        <v>130</v>
      </c>
      <c r="D196" s="43">
        <v>3007.3</v>
      </c>
      <c r="E196" s="7">
        <f t="shared" si="78"/>
        <v>3.2899999999999996</v>
      </c>
      <c r="F196" s="7">
        <f aca="true" t="shared" si="80" ref="F196:F241">G196/D196/12</f>
        <v>3.2899999999999996</v>
      </c>
      <c r="G196" s="69">
        <f t="shared" si="79"/>
        <v>118728.204</v>
      </c>
      <c r="H196" s="7">
        <v>0.46</v>
      </c>
      <c r="I196" s="69">
        <f t="shared" si="69"/>
        <v>16600.296000000002</v>
      </c>
      <c r="J196" s="7">
        <v>0.3</v>
      </c>
      <c r="K196" s="69">
        <f t="shared" si="70"/>
        <v>10826.28</v>
      </c>
      <c r="L196" s="7">
        <v>0.17</v>
      </c>
      <c r="M196" s="69">
        <f t="shared" si="71"/>
        <v>6134.892000000001</v>
      </c>
      <c r="N196" s="7">
        <v>0.3</v>
      </c>
      <c r="O196" s="69">
        <f t="shared" si="72"/>
        <v>10826.28</v>
      </c>
      <c r="P196" s="7">
        <v>0.3</v>
      </c>
      <c r="Q196" s="69">
        <f t="shared" si="73"/>
        <v>10826.28</v>
      </c>
      <c r="R196" s="7">
        <v>0.36</v>
      </c>
      <c r="S196" s="69">
        <f t="shared" si="74"/>
        <v>12991.536</v>
      </c>
      <c r="T196" s="7">
        <v>0.15</v>
      </c>
      <c r="U196" s="69">
        <f t="shared" si="46"/>
        <v>5413.14</v>
      </c>
      <c r="V196" s="6">
        <f>V194+1</f>
        <v>4</v>
      </c>
      <c r="W196" s="3" t="s">
        <v>130</v>
      </c>
      <c r="X196" s="43">
        <v>3007.3</v>
      </c>
      <c r="Y196" s="6">
        <v>0.3</v>
      </c>
      <c r="Z196" s="69">
        <f t="shared" si="75"/>
        <v>10826.28</v>
      </c>
      <c r="AA196" s="7">
        <v>0.4</v>
      </c>
      <c r="AB196" s="69">
        <f t="shared" si="76"/>
        <v>14435.04</v>
      </c>
      <c r="AC196" s="7">
        <v>0.4</v>
      </c>
      <c r="AD196" s="69">
        <f t="shared" si="77"/>
        <v>14435.04</v>
      </c>
      <c r="AE196" s="7">
        <v>0.15</v>
      </c>
      <c r="AF196" s="69">
        <f t="shared" si="50"/>
        <v>5413.14</v>
      </c>
      <c r="AG196" s="2"/>
      <c r="AH196" s="17"/>
      <c r="AI196" s="2"/>
      <c r="AJ196" s="2"/>
    </row>
    <row r="197" spans="1:36" ht="12.75">
      <c r="A197" s="6">
        <f>A196+1</f>
        <v>183</v>
      </c>
      <c r="B197" s="6">
        <f aca="true" t="shared" si="81" ref="B197:B241">B196+1</f>
        <v>5</v>
      </c>
      <c r="C197" s="3" t="s">
        <v>131</v>
      </c>
      <c r="D197" s="43">
        <v>3966.2</v>
      </c>
      <c r="E197" s="7">
        <f t="shared" si="78"/>
        <v>3.3899999999999997</v>
      </c>
      <c r="F197" s="7">
        <f t="shared" si="80"/>
        <v>3.39</v>
      </c>
      <c r="G197" s="69">
        <f t="shared" si="79"/>
        <v>161345.016</v>
      </c>
      <c r="H197" s="7">
        <v>0.61</v>
      </c>
      <c r="I197" s="69">
        <f t="shared" si="69"/>
        <v>29032.584000000003</v>
      </c>
      <c r="J197" s="7">
        <v>0.5</v>
      </c>
      <c r="K197" s="69">
        <f t="shared" si="70"/>
        <v>23797.199999999997</v>
      </c>
      <c r="L197" s="7">
        <v>0.2</v>
      </c>
      <c r="M197" s="69">
        <f t="shared" si="71"/>
        <v>9518.880000000001</v>
      </c>
      <c r="N197" s="7">
        <v>0.22</v>
      </c>
      <c r="O197" s="69">
        <f t="shared" si="72"/>
        <v>10470.768</v>
      </c>
      <c r="P197" s="7">
        <v>0.2</v>
      </c>
      <c r="Q197" s="69">
        <f t="shared" si="73"/>
        <v>9518.880000000001</v>
      </c>
      <c r="R197" s="7">
        <v>0.36</v>
      </c>
      <c r="S197" s="69">
        <f t="shared" si="74"/>
        <v>17133.983999999997</v>
      </c>
      <c r="T197" s="7">
        <v>0.1</v>
      </c>
      <c r="U197" s="69">
        <f t="shared" si="46"/>
        <v>4759.4400000000005</v>
      </c>
      <c r="V197" s="6">
        <f aca="true" t="shared" si="82" ref="V197:V242">V196+1</f>
        <v>5</v>
      </c>
      <c r="W197" s="3" t="s">
        <v>131</v>
      </c>
      <c r="X197" s="43">
        <v>3966.2</v>
      </c>
      <c r="Y197" s="6">
        <v>0.3</v>
      </c>
      <c r="Z197" s="69">
        <f t="shared" si="75"/>
        <v>14278.32</v>
      </c>
      <c r="AA197" s="7">
        <v>0.5</v>
      </c>
      <c r="AB197" s="69">
        <f t="shared" si="76"/>
        <v>23797.199999999997</v>
      </c>
      <c r="AC197" s="7">
        <v>0.3</v>
      </c>
      <c r="AD197" s="69">
        <f t="shared" si="77"/>
        <v>14278.32</v>
      </c>
      <c r="AE197" s="7">
        <v>0.1</v>
      </c>
      <c r="AF197" s="69">
        <f t="shared" si="50"/>
        <v>4759.4400000000005</v>
      </c>
      <c r="AG197" s="2"/>
      <c r="AH197" s="17"/>
      <c r="AI197" s="2"/>
      <c r="AJ197" s="2"/>
    </row>
    <row r="198" spans="1:36" ht="12.75">
      <c r="A198" s="6">
        <f>A197+1</f>
        <v>184</v>
      </c>
      <c r="B198" s="6">
        <f t="shared" si="81"/>
        <v>6</v>
      </c>
      <c r="C198" s="3" t="s">
        <v>241</v>
      </c>
      <c r="D198" s="43">
        <v>1415.7</v>
      </c>
      <c r="E198" s="7">
        <f t="shared" si="78"/>
        <v>2.9899999999999998</v>
      </c>
      <c r="F198" s="7">
        <f t="shared" si="80"/>
        <v>2.99</v>
      </c>
      <c r="G198" s="69">
        <f t="shared" si="79"/>
        <v>50795.316000000006</v>
      </c>
      <c r="H198" s="7">
        <v>0.4</v>
      </c>
      <c r="I198" s="69">
        <f t="shared" si="69"/>
        <v>6795.360000000001</v>
      </c>
      <c r="J198" s="7">
        <v>0.3</v>
      </c>
      <c r="K198" s="69">
        <f t="shared" si="70"/>
        <v>5096.5199999999995</v>
      </c>
      <c r="L198" s="7">
        <v>0.3</v>
      </c>
      <c r="M198" s="69">
        <f t="shared" si="71"/>
        <v>5096.5199999999995</v>
      </c>
      <c r="N198" s="7">
        <v>0.2</v>
      </c>
      <c r="O198" s="69">
        <f t="shared" si="72"/>
        <v>3397.6800000000003</v>
      </c>
      <c r="P198" s="7">
        <v>0.2</v>
      </c>
      <c r="Q198" s="69">
        <f t="shared" si="73"/>
        <v>3397.6800000000003</v>
      </c>
      <c r="R198" s="7">
        <v>0.36</v>
      </c>
      <c r="S198" s="69">
        <f t="shared" si="74"/>
        <v>6115.824</v>
      </c>
      <c r="T198" s="7">
        <v>0.1</v>
      </c>
      <c r="U198" s="69">
        <f t="shared" si="46"/>
        <v>1698.8400000000001</v>
      </c>
      <c r="V198" s="6">
        <f t="shared" si="82"/>
        <v>6</v>
      </c>
      <c r="W198" s="3" t="s">
        <v>241</v>
      </c>
      <c r="X198" s="43">
        <v>1415.7</v>
      </c>
      <c r="Y198" s="6">
        <v>0.3</v>
      </c>
      <c r="Z198" s="69">
        <f t="shared" si="75"/>
        <v>5096.5199999999995</v>
      </c>
      <c r="AA198" s="7">
        <v>0.5</v>
      </c>
      <c r="AB198" s="69">
        <f t="shared" si="76"/>
        <v>8494.2</v>
      </c>
      <c r="AC198" s="7">
        <v>0.2</v>
      </c>
      <c r="AD198" s="69">
        <f t="shared" si="77"/>
        <v>3397.6800000000003</v>
      </c>
      <c r="AE198" s="7">
        <v>0.13</v>
      </c>
      <c r="AF198" s="69">
        <f t="shared" si="50"/>
        <v>2208.492</v>
      </c>
      <c r="AG198" s="2"/>
      <c r="AH198" s="17"/>
      <c r="AI198" s="2"/>
      <c r="AJ198" s="2"/>
    </row>
    <row r="199" spans="1:36" ht="12.75">
      <c r="A199" s="6"/>
      <c r="B199" s="6"/>
      <c r="C199" s="3" t="s">
        <v>242</v>
      </c>
      <c r="D199" s="43">
        <v>5045.7</v>
      </c>
      <c r="E199" s="7">
        <f t="shared" si="78"/>
        <v>4.319999999999999</v>
      </c>
      <c r="F199" s="7">
        <f t="shared" si="80"/>
        <v>4.319999999999999</v>
      </c>
      <c r="G199" s="69">
        <f t="shared" si="79"/>
        <v>261569.088</v>
      </c>
      <c r="H199" s="7">
        <v>0.5</v>
      </c>
      <c r="I199" s="69">
        <f t="shared" si="69"/>
        <v>30274.199999999997</v>
      </c>
      <c r="J199" s="7">
        <v>0.4</v>
      </c>
      <c r="K199" s="69">
        <f t="shared" si="70"/>
        <v>24219.36</v>
      </c>
      <c r="L199" s="7">
        <v>0.3</v>
      </c>
      <c r="M199" s="69">
        <f t="shared" si="71"/>
        <v>18164.519999999997</v>
      </c>
      <c r="N199" s="7">
        <v>0.3</v>
      </c>
      <c r="O199" s="69">
        <f t="shared" si="72"/>
        <v>18164.519999999997</v>
      </c>
      <c r="P199" s="7">
        <v>0.36</v>
      </c>
      <c r="Q199" s="69">
        <f t="shared" si="73"/>
        <v>21797.424</v>
      </c>
      <c r="R199" s="7">
        <v>0.36</v>
      </c>
      <c r="S199" s="69">
        <f t="shared" si="74"/>
        <v>21797.424</v>
      </c>
      <c r="T199" s="7">
        <v>0.5</v>
      </c>
      <c r="U199" s="69">
        <f t="shared" si="46"/>
        <v>30274.199999999997</v>
      </c>
      <c r="V199" s="6"/>
      <c r="W199" s="3" t="s">
        <v>242</v>
      </c>
      <c r="X199" s="43">
        <v>5045.7</v>
      </c>
      <c r="Y199" s="6">
        <v>0.3</v>
      </c>
      <c r="Z199" s="69">
        <f t="shared" si="75"/>
        <v>18164.519999999997</v>
      </c>
      <c r="AA199" s="7">
        <v>0.5</v>
      </c>
      <c r="AB199" s="69">
        <f t="shared" si="76"/>
        <v>30274.199999999997</v>
      </c>
      <c r="AC199" s="7">
        <v>0.3</v>
      </c>
      <c r="AD199" s="69">
        <f t="shared" si="77"/>
        <v>18164.519999999997</v>
      </c>
      <c r="AE199" s="7">
        <v>0.5</v>
      </c>
      <c r="AF199" s="69">
        <f t="shared" si="50"/>
        <v>30274.199999999997</v>
      </c>
      <c r="AG199" s="2"/>
      <c r="AH199" s="17"/>
      <c r="AI199" s="2"/>
      <c r="AJ199" s="2"/>
    </row>
    <row r="200" spans="1:36" ht="12.75">
      <c r="A200" s="6">
        <f>A198+1</f>
        <v>185</v>
      </c>
      <c r="B200" s="6">
        <f>B198+1</f>
        <v>7</v>
      </c>
      <c r="C200" s="3" t="s">
        <v>132</v>
      </c>
      <c r="D200" s="43">
        <v>5320.4</v>
      </c>
      <c r="E200" s="7">
        <f t="shared" si="78"/>
        <v>2.79</v>
      </c>
      <c r="F200" s="7">
        <f t="shared" si="80"/>
        <v>2.7899999999999996</v>
      </c>
      <c r="G200" s="69">
        <f t="shared" si="79"/>
        <v>178126.99199999997</v>
      </c>
      <c r="H200" s="7">
        <v>0.41</v>
      </c>
      <c r="I200" s="69">
        <f t="shared" si="69"/>
        <v>26176.367999999995</v>
      </c>
      <c r="J200" s="7">
        <v>0.3</v>
      </c>
      <c r="K200" s="69">
        <f t="shared" si="70"/>
        <v>19153.44</v>
      </c>
      <c r="L200" s="7">
        <v>0.1</v>
      </c>
      <c r="M200" s="69">
        <f t="shared" si="71"/>
        <v>6384.48</v>
      </c>
      <c r="N200" s="7">
        <v>0.3</v>
      </c>
      <c r="O200" s="69">
        <f t="shared" si="72"/>
        <v>19153.44</v>
      </c>
      <c r="P200" s="7">
        <v>0.12</v>
      </c>
      <c r="Q200" s="69">
        <f t="shared" si="73"/>
        <v>7661.376</v>
      </c>
      <c r="R200" s="7">
        <v>0.36</v>
      </c>
      <c r="S200" s="69">
        <f t="shared" si="74"/>
        <v>22984.127999999997</v>
      </c>
      <c r="T200" s="7">
        <v>0.1</v>
      </c>
      <c r="U200" s="69">
        <f t="shared" si="46"/>
        <v>6384.48</v>
      </c>
      <c r="V200" s="6">
        <f>V198+1</f>
        <v>7</v>
      </c>
      <c r="W200" s="3" t="s">
        <v>132</v>
      </c>
      <c r="X200" s="43">
        <v>5320.4</v>
      </c>
      <c r="Y200" s="6">
        <v>0.3</v>
      </c>
      <c r="Z200" s="69">
        <f t="shared" si="75"/>
        <v>19153.44</v>
      </c>
      <c r="AA200" s="7">
        <v>0.4</v>
      </c>
      <c r="AB200" s="69">
        <f t="shared" si="76"/>
        <v>25537.92</v>
      </c>
      <c r="AC200" s="7">
        <v>0.3</v>
      </c>
      <c r="AD200" s="69">
        <f t="shared" si="77"/>
        <v>19153.44</v>
      </c>
      <c r="AE200" s="7">
        <v>0.1</v>
      </c>
      <c r="AF200" s="69">
        <f t="shared" si="50"/>
        <v>6384.48</v>
      </c>
      <c r="AG200" s="2"/>
      <c r="AH200" s="17"/>
      <c r="AI200" s="2"/>
      <c r="AJ200" s="2"/>
    </row>
    <row r="201" spans="1:36" ht="12.75">
      <c r="A201" s="6">
        <f>A200+1</f>
        <v>186</v>
      </c>
      <c r="B201" s="6">
        <f t="shared" si="81"/>
        <v>8</v>
      </c>
      <c r="C201" s="3" t="s">
        <v>133</v>
      </c>
      <c r="D201" s="43">
        <v>3145.4</v>
      </c>
      <c r="E201" s="7">
        <f t="shared" si="78"/>
        <v>2.6400000000000006</v>
      </c>
      <c r="F201" s="7">
        <f t="shared" si="80"/>
        <v>2.64</v>
      </c>
      <c r="G201" s="69">
        <f t="shared" si="79"/>
        <v>99646.272</v>
      </c>
      <c r="H201" s="7">
        <v>0.41</v>
      </c>
      <c r="I201" s="69">
        <f aca="true" t="shared" si="83" ref="I201:I241">H201*D201*12</f>
        <v>15475.368</v>
      </c>
      <c r="J201" s="7">
        <v>0.3</v>
      </c>
      <c r="K201" s="69">
        <f t="shared" si="70"/>
        <v>11323.44</v>
      </c>
      <c r="L201" s="7">
        <v>0.12</v>
      </c>
      <c r="M201" s="69">
        <f aca="true" t="shared" si="84" ref="M201:M241">D201*L201*12</f>
        <v>4529.376</v>
      </c>
      <c r="N201" s="7">
        <v>0.2</v>
      </c>
      <c r="O201" s="69">
        <f aca="true" t="shared" si="85" ref="O201:O241">N201*D201*12</f>
        <v>7548.960000000001</v>
      </c>
      <c r="P201" s="7">
        <v>0.1</v>
      </c>
      <c r="Q201" s="69">
        <f aca="true" t="shared" si="86" ref="Q201:Q241">P201*D201*12</f>
        <v>3774.4800000000005</v>
      </c>
      <c r="R201" s="7">
        <v>0.36</v>
      </c>
      <c r="S201" s="69">
        <f aca="true" t="shared" si="87" ref="S201:S240">R201*D201*12</f>
        <v>13588.128</v>
      </c>
      <c r="T201" s="7">
        <v>0.1</v>
      </c>
      <c r="U201" s="69">
        <f aca="true" t="shared" si="88" ref="U201:U241">T201*D201*12</f>
        <v>3774.4800000000005</v>
      </c>
      <c r="V201" s="6">
        <f t="shared" si="82"/>
        <v>8</v>
      </c>
      <c r="W201" s="3" t="s">
        <v>133</v>
      </c>
      <c r="X201" s="43">
        <v>3145.4</v>
      </c>
      <c r="Y201" s="6">
        <v>0.3</v>
      </c>
      <c r="Z201" s="69">
        <f aca="true" t="shared" si="89" ref="Z201:Z241">Y201*D201*12</f>
        <v>11323.44</v>
      </c>
      <c r="AA201" s="7">
        <v>0.4</v>
      </c>
      <c r="AB201" s="69">
        <f aca="true" t="shared" si="90" ref="AB201:AB241">AA201*D201*12</f>
        <v>15097.920000000002</v>
      </c>
      <c r="AC201" s="7">
        <v>0.25</v>
      </c>
      <c r="AD201" s="69">
        <f aca="true" t="shared" si="91" ref="AD201:AD241">AC201*D201*12</f>
        <v>9436.2</v>
      </c>
      <c r="AE201" s="7">
        <v>0.1</v>
      </c>
      <c r="AF201" s="69">
        <f aca="true" t="shared" si="92" ref="AF201:AF241">AE201*D201*12</f>
        <v>3774.4800000000005</v>
      </c>
      <c r="AG201" s="2"/>
      <c r="AH201" s="17"/>
      <c r="AI201" s="2"/>
      <c r="AJ201" s="2"/>
    </row>
    <row r="202" spans="1:36" ht="12.75">
      <c r="A202" s="6">
        <f>A201+1</f>
        <v>187</v>
      </c>
      <c r="B202" s="6">
        <f t="shared" si="81"/>
        <v>9</v>
      </c>
      <c r="C202" s="3" t="s">
        <v>134</v>
      </c>
      <c r="D202" s="43">
        <v>2350.7</v>
      </c>
      <c r="E202" s="7">
        <f t="shared" si="78"/>
        <v>2.6399999999999997</v>
      </c>
      <c r="F202" s="7">
        <f t="shared" si="80"/>
        <v>2.6399999999999992</v>
      </c>
      <c r="G202" s="69">
        <f t="shared" si="79"/>
        <v>74470.17599999998</v>
      </c>
      <c r="H202" s="7">
        <v>0.41</v>
      </c>
      <c r="I202" s="69">
        <f t="shared" si="83"/>
        <v>11565.444</v>
      </c>
      <c r="J202" s="7">
        <v>0.3</v>
      </c>
      <c r="K202" s="69">
        <f t="shared" si="70"/>
        <v>8462.519999999999</v>
      </c>
      <c r="L202" s="7">
        <v>0.15</v>
      </c>
      <c r="M202" s="69">
        <f t="shared" si="84"/>
        <v>4231.259999999999</v>
      </c>
      <c r="N202" s="7">
        <v>0.2</v>
      </c>
      <c r="O202" s="69">
        <f t="shared" si="85"/>
        <v>5641.68</v>
      </c>
      <c r="P202" s="7">
        <v>0.17</v>
      </c>
      <c r="Q202" s="69">
        <f t="shared" si="86"/>
        <v>4795.428</v>
      </c>
      <c r="R202" s="7">
        <v>0.36</v>
      </c>
      <c r="S202" s="69">
        <f t="shared" si="87"/>
        <v>10155.024</v>
      </c>
      <c r="T202" s="7">
        <v>0.05</v>
      </c>
      <c r="U202" s="69">
        <f t="shared" si="88"/>
        <v>1410.42</v>
      </c>
      <c r="V202" s="6">
        <f t="shared" si="82"/>
        <v>9</v>
      </c>
      <c r="W202" s="3" t="s">
        <v>134</v>
      </c>
      <c r="X202" s="43">
        <v>2350.7</v>
      </c>
      <c r="Y202" s="6">
        <v>0.3</v>
      </c>
      <c r="Z202" s="69">
        <f t="shared" si="89"/>
        <v>8462.519999999999</v>
      </c>
      <c r="AA202" s="7">
        <v>0.4</v>
      </c>
      <c r="AB202" s="69">
        <f t="shared" si="90"/>
        <v>11283.36</v>
      </c>
      <c r="AC202" s="7">
        <v>0.25</v>
      </c>
      <c r="AD202" s="69">
        <f t="shared" si="91"/>
        <v>7052.099999999999</v>
      </c>
      <c r="AE202" s="7">
        <v>0.05</v>
      </c>
      <c r="AF202" s="69">
        <f t="shared" si="92"/>
        <v>1410.42</v>
      </c>
      <c r="AG202" s="2"/>
      <c r="AH202" s="17"/>
      <c r="AI202" s="2"/>
      <c r="AJ202" s="2"/>
    </row>
    <row r="203" spans="1:36" ht="12.75">
      <c r="A203" s="6">
        <f>A202+1</f>
        <v>188</v>
      </c>
      <c r="B203" s="6">
        <f t="shared" si="81"/>
        <v>10</v>
      </c>
      <c r="C203" s="3" t="s">
        <v>243</v>
      </c>
      <c r="D203" s="43">
        <v>1435.6</v>
      </c>
      <c r="E203" s="7">
        <f t="shared" si="78"/>
        <v>2.55</v>
      </c>
      <c r="F203" s="7">
        <f t="shared" si="80"/>
        <v>2.5500000000000003</v>
      </c>
      <c r="G203" s="69">
        <f t="shared" si="79"/>
        <v>43929.36</v>
      </c>
      <c r="H203" s="7">
        <v>0.4</v>
      </c>
      <c r="I203" s="69">
        <f t="shared" si="83"/>
        <v>6890.88</v>
      </c>
      <c r="J203" s="7">
        <v>0.3</v>
      </c>
      <c r="K203" s="69">
        <f t="shared" si="70"/>
        <v>5168.16</v>
      </c>
      <c r="L203" s="7">
        <v>0.2</v>
      </c>
      <c r="M203" s="69">
        <f t="shared" si="84"/>
        <v>3445.44</v>
      </c>
      <c r="N203" s="7">
        <v>0.14</v>
      </c>
      <c r="O203" s="69">
        <f t="shared" si="85"/>
        <v>2411.808</v>
      </c>
      <c r="P203" s="7">
        <v>0.15</v>
      </c>
      <c r="Q203" s="69">
        <f t="shared" si="86"/>
        <v>2584.08</v>
      </c>
      <c r="R203" s="7">
        <v>0.36</v>
      </c>
      <c r="S203" s="69">
        <f t="shared" si="87"/>
        <v>6201.7919999999995</v>
      </c>
      <c r="T203" s="7">
        <v>0.05</v>
      </c>
      <c r="U203" s="69">
        <f t="shared" si="88"/>
        <v>861.36</v>
      </c>
      <c r="V203" s="6">
        <f t="shared" si="82"/>
        <v>10</v>
      </c>
      <c r="W203" s="3" t="s">
        <v>243</v>
      </c>
      <c r="X203" s="43">
        <v>1435.6</v>
      </c>
      <c r="Y203" s="6">
        <v>0.3</v>
      </c>
      <c r="Z203" s="69">
        <f t="shared" si="89"/>
        <v>5168.16</v>
      </c>
      <c r="AA203" s="7">
        <v>0.4</v>
      </c>
      <c r="AB203" s="69">
        <f t="shared" si="90"/>
        <v>6890.88</v>
      </c>
      <c r="AC203" s="7">
        <v>0.2</v>
      </c>
      <c r="AD203" s="69">
        <f t="shared" si="91"/>
        <v>3445.44</v>
      </c>
      <c r="AE203" s="7">
        <v>0.05</v>
      </c>
      <c r="AF203" s="69">
        <f t="shared" si="92"/>
        <v>861.36</v>
      </c>
      <c r="AG203" s="2"/>
      <c r="AH203" s="17"/>
      <c r="AI203" s="2"/>
      <c r="AJ203" s="2"/>
    </row>
    <row r="204" spans="1:36" ht="12.75">
      <c r="A204" s="6"/>
      <c r="B204" s="6"/>
      <c r="C204" s="3" t="s">
        <v>244</v>
      </c>
      <c r="D204" s="170">
        <v>5135</v>
      </c>
      <c r="E204" s="7">
        <f t="shared" si="78"/>
        <v>3.9399999999999995</v>
      </c>
      <c r="F204" s="7">
        <f t="shared" si="80"/>
        <v>3.94</v>
      </c>
      <c r="G204" s="69">
        <f t="shared" si="79"/>
        <v>242782.80000000002</v>
      </c>
      <c r="H204" s="7">
        <v>0.6</v>
      </c>
      <c r="I204" s="69">
        <f t="shared" si="83"/>
        <v>36972</v>
      </c>
      <c r="J204" s="7">
        <v>0.4</v>
      </c>
      <c r="K204" s="69">
        <f t="shared" si="70"/>
        <v>24648</v>
      </c>
      <c r="L204" s="7">
        <v>0.3</v>
      </c>
      <c r="M204" s="69">
        <f t="shared" si="84"/>
        <v>18486</v>
      </c>
      <c r="N204" s="7">
        <v>0.3</v>
      </c>
      <c r="O204" s="69">
        <f t="shared" si="85"/>
        <v>18486</v>
      </c>
      <c r="P204" s="7">
        <v>0.3</v>
      </c>
      <c r="Q204" s="69">
        <f t="shared" si="86"/>
        <v>18486</v>
      </c>
      <c r="R204" s="7">
        <v>0.36</v>
      </c>
      <c r="S204" s="69">
        <f t="shared" si="87"/>
        <v>22183.199999999997</v>
      </c>
      <c r="T204" s="7">
        <v>0.3</v>
      </c>
      <c r="U204" s="69">
        <f t="shared" si="88"/>
        <v>18486</v>
      </c>
      <c r="V204" s="6"/>
      <c r="W204" s="3" t="s">
        <v>244</v>
      </c>
      <c r="X204" s="170">
        <v>5135</v>
      </c>
      <c r="Y204" s="6">
        <v>0.3</v>
      </c>
      <c r="Z204" s="69">
        <f t="shared" si="89"/>
        <v>18486</v>
      </c>
      <c r="AA204" s="7">
        <v>0.5</v>
      </c>
      <c r="AB204" s="69">
        <f t="shared" si="90"/>
        <v>30810</v>
      </c>
      <c r="AC204" s="7">
        <v>0.28</v>
      </c>
      <c r="AD204" s="69">
        <f t="shared" si="91"/>
        <v>17253.600000000002</v>
      </c>
      <c r="AE204" s="7">
        <v>0.3</v>
      </c>
      <c r="AF204" s="69">
        <f t="shared" si="92"/>
        <v>18486</v>
      </c>
      <c r="AG204" s="2"/>
      <c r="AH204" s="17"/>
      <c r="AI204" s="2"/>
      <c r="AJ204" s="2"/>
    </row>
    <row r="205" spans="1:36" ht="12.75">
      <c r="A205" s="6">
        <f>A203+1</f>
        <v>189</v>
      </c>
      <c r="B205" s="6">
        <f>B203+1</f>
        <v>11</v>
      </c>
      <c r="C205" s="3" t="s">
        <v>135</v>
      </c>
      <c r="D205" s="43">
        <v>1669.1</v>
      </c>
      <c r="E205" s="7">
        <f t="shared" si="78"/>
        <v>2.97</v>
      </c>
      <c r="F205" s="7">
        <f t="shared" si="80"/>
        <v>2.9700000000000006</v>
      </c>
      <c r="G205" s="69">
        <f t="shared" si="79"/>
        <v>59486.72400000001</v>
      </c>
      <c r="H205" s="7">
        <v>0.7</v>
      </c>
      <c r="I205" s="69">
        <f t="shared" si="83"/>
        <v>14020.439999999999</v>
      </c>
      <c r="J205" s="7">
        <v>0.4</v>
      </c>
      <c r="K205" s="69">
        <f t="shared" si="70"/>
        <v>8011.68</v>
      </c>
      <c r="L205" s="7">
        <v>0.2</v>
      </c>
      <c r="M205" s="69">
        <f t="shared" si="84"/>
        <v>4005.84</v>
      </c>
      <c r="N205" s="7">
        <v>0.1</v>
      </c>
      <c r="O205" s="69">
        <f t="shared" si="85"/>
        <v>2002.92</v>
      </c>
      <c r="P205" s="7">
        <v>0.17</v>
      </c>
      <c r="Q205" s="69">
        <f t="shared" si="86"/>
        <v>3404.964</v>
      </c>
      <c r="R205" s="7">
        <v>0.36</v>
      </c>
      <c r="S205" s="69">
        <f t="shared" si="87"/>
        <v>7210.512</v>
      </c>
      <c r="T205" s="7">
        <v>0.14</v>
      </c>
      <c r="U205" s="69">
        <f t="shared" si="88"/>
        <v>2804.088</v>
      </c>
      <c r="V205" s="6">
        <f>V203+1</f>
        <v>11</v>
      </c>
      <c r="W205" s="3" t="s">
        <v>135</v>
      </c>
      <c r="X205" s="43">
        <v>1669.1</v>
      </c>
      <c r="Y205" s="6">
        <v>0.3</v>
      </c>
      <c r="Z205" s="69">
        <f t="shared" si="89"/>
        <v>6008.759999999999</v>
      </c>
      <c r="AA205" s="7">
        <v>0.3</v>
      </c>
      <c r="AB205" s="69">
        <f t="shared" si="90"/>
        <v>6008.759999999999</v>
      </c>
      <c r="AC205" s="7">
        <v>0.2</v>
      </c>
      <c r="AD205" s="69">
        <f t="shared" si="91"/>
        <v>4005.84</v>
      </c>
      <c r="AE205" s="7">
        <v>0.1</v>
      </c>
      <c r="AF205" s="69">
        <f t="shared" si="92"/>
        <v>2002.92</v>
      </c>
      <c r="AG205" s="2"/>
      <c r="AH205" s="17"/>
      <c r="AI205" s="2"/>
      <c r="AJ205" s="2"/>
    </row>
    <row r="206" spans="1:36" ht="12.75">
      <c r="A206" s="2">
        <f>A205+1</f>
        <v>190</v>
      </c>
      <c r="B206" s="6">
        <f t="shared" si="81"/>
        <v>12</v>
      </c>
      <c r="C206" s="3" t="s">
        <v>136</v>
      </c>
      <c r="D206" s="64">
        <v>2421</v>
      </c>
      <c r="E206" s="7">
        <f t="shared" si="78"/>
        <v>2.3</v>
      </c>
      <c r="F206" s="7">
        <f t="shared" si="80"/>
        <v>2.3000000000000003</v>
      </c>
      <c r="G206" s="69">
        <f t="shared" si="79"/>
        <v>66819.6</v>
      </c>
      <c r="H206" s="7">
        <v>0.4</v>
      </c>
      <c r="I206" s="69">
        <f t="shared" si="83"/>
        <v>11620.800000000001</v>
      </c>
      <c r="J206" s="7">
        <v>0.3</v>
      </c>
      <c r="K206" s="69">
        <f t="shared" si="70"/>
        <v>8715.599999999999</v>
      </c>
      <c r="L206" s="7">
        <v>0.2</v>
      </c>
      <c r="M206" s="69">
        <f t="shared" si="84"/>
        <v>5810.400000000001</v>
      </c>
      <c r="N206" s="7">
        <v>0.1</v>
      </c>
      <c r="O206" s="69">
        <f t="shared" si="85"/>
        <v>2905.2000000000003</v>
      </c>
      <c r="P206" s="7">
        <v>0.1</v>
      </c>
      <c r="Q206" s="69">
        <f t="shared" si="86"/>
        <v>2905.2000000000003</v>
      </c>
      <c r="R206" s="7">
        <v>0.36</v>
      </c>
      <c r="S206" s="69">
        <f t="shared" si="87"/>
        <v>10458.72</v>
      </c>
      <c r="T206" s="7">
        <v>0.05</v>
      </c>
      <c r="U206" s="69">
        <f t="shared" si="88"/>
        <v>1452.6000000000001</v>
      </c>
      <c r="V206" s="6">
        <f t="shared" si="82"/>
        <v>12</v>
      </c>
      <c r="W206" s="3" t="s">
        <v>136</v>
      </c>
      <c r="X206" s="64">
        <v>2421</v>
      </c>
      <c r="Y206" s="6">
        <v>0.29</v>
      </c>
      <c r="Z206" s="69">
        <f t="shared" si="89"/>
        <v>8425.079999999998</v>
      </c>
      <c r="AA206" s="7">
        <v>0.3</v>
      </c>
      <c r="AB206" s="69">
        <f t="shared" si="90"/>
        <v>8715.599999999999</v>
      </c>
      <c r="AC206" s="7">
        <v>0.15</v>
      </c>
      <c r="AD206" s="69">
        <f t="shared" si="91"/>
        <v>4357.799999999999</v>
      </c>
      <c r="AE206" s="7">
        <v>0.05</v>
      </c>
      <c r="AF206" s="69">
        <f t="shared" si="92"/>
        <v>1452.6000000000001</v>
      </c>
      <c r="AG206" s="2"/>
      <c r="AH206" s="17"/>
      <c r="AI206" s="2"/>
      <c r="AJ206" s="2"/>
    </row>
    <row r="207" spans="1:36" ht="12.75">
      <c r="A207" s="2">
        <f aca="true" t="shared" si="93" ref="A207:A215">A206+1</f>
        <v>191</v>
      </c>
      <c r="B207" s="6">
        <f t="shared" si="81"/>
        <v>13</v>
      </c>
      <c r="C207" s="3" t="s">
        <v>137</v>
      </c>
      <c r="D207" s="43">
        <v>6280.6</v>
      </c>
      <c r="E207" s="7">
        <f t="shared" si="78"/>
        <v>4.83</v>
      </c>
      <c r="F207" s="7">
        <f t="shared" si="80"/>
        <v>4.830000000000001</v>
      </c>
      <c r="G207" s="69">
        <f t="shared" si="79"/>
        <v>364023.57600000006</v>
      </c>
      <c r="H207" s="7">
        <v>0.6</v>
      </c>
      <c r="I207" s="69">
        <f t="shared" si="83"/>
        <v>45220.32</v>
      </c>
      <c r="J207" s="7">
        <v>0.4</v>
      </c>
      <c r="K207" s="69">
        <f t="shared" si="70"/>
        <v>30146.880000000005</v>
      </c>
      <c r="L207" s="7">
        <v>0.27</v>
      </c>
      <c r="M207" s="69">
        <f t="shared" si="84"/>
        <v>20349.144</v>
      </c>
      <c r="N207" s="7">
        <v>0.4</v>
      </c>
      <c r="O207" s="69">
        <f t="shared" si="85"/>
        <v>30146.880000000005</v>
      </c>
      <c r="P207" s="7">
        <v>0.4</v>
      </c>
      <c r="Q207" s="69">
        <f t="shared" si="86"/>
        <v>30146.880000000005</v>
      </c>
      <c r="R207" s="7">
        <v>0.36</v>
      </c>
      <c r="S207" s="69">
        <f t="shared" si="87"/>
        <v>27132.192000000003</v>
      </c>
      <c r="T207" s="7">
        <v>0.4</v>
      </c>
      <c r="U207" s="69">
        <f t="shared" si="88"/>
        <v>30146.880000000005</v>
      </c>
      <c r="V207" s="6">
        <f t="shared" si="82"/>
        <v>13</v>
      </c>
      <c r="W207" s="3" t="s">
        <v>137</v>
      </c>
      <c r="X207" s="43">
        <v>6280.6</v>
      </c>
      <c r="Y207" s="6">
        <v>0.5</v>
      </c>
      <c r="Z207" s="69">
        <f t="shared" si="89"/>
        <v>37683.600000000006</v>
      </c>
      <c r="AA207" s="7">
        <v>0.6</v>
      </c>
      <c r="AB207" s="69">
        <f t="shared" si="90"/>
        <v>45220.32</v>
      </c>
      <c r="AC207" s="7">
        <v>0.5</v>
      </c>
      <c r="AD207" s="69">
        <f t="shared" si="91"/>
        <v>37683.600000000006</v>
      </c>
      <c r="AE207" s="7">
        <v>0.4</v>
      </c>
      <c r="AF207" s="69">
        <f t="shared" si="92"/>
        <v>30146.880000000005</v>
      </c>
      <c r="AG207" s="2"/>
      <c r="AH207" s="17"/>
      <c r="AI207" s="2"/>
      <c r="AJ207" s="2"/>
    </row>
    <row r="208" spans="1:36" ht="12.75">
      <c r="A208" s="2">
        <f t="shared" si="93"/>
        <v>192</v>
      </c>
      <c r="B208" s="6">
        <f t="shared" si="81"/>
        <v>14</v>
      </c>
      <c r="C208" s="3" t="s">
        <v>138</v>
      </c>
      <c r="D208" s="170">
        <v>1468.6</v>
      </c>
      <c r="E208" s="7">
        <f t="shared" si="78"/>
        <v>3.3399999999999994</v>
      </c>
      <c r="F208" s="7">
        <f t="shared" si="80"/>
        <v>3.34</v>
      </c>
      <c r="G208" s="69">
        <f t="shared" si="79"/>
        <v>58861.48799999999</v>
      </c>
      <c r="H208" s="7">
        <v>0.58</v>
      </c>
      <c r="I208" s="69">
        <f t="shared" si="83"/>
        <v>10221.455999999998</v>
      </c>
      <c r="J208" s="7">
        <v>0.4</v>
      </c>
      <c r="K208" s="69">
        <f t="shared" si="70"/>
        <v>7049.279999999999</v>
      </c>
      <c r="L208" s="7">
        <v>0.4</v>
      </c>
      <c r="M208" s="69">
        <f t="shared" si="84"/>
        <v>7049.279999999999</v>
      </c>
      <c r="N208" s="7">
        <v>0.2</v>
      </c>
      <c r="O208" s="69">
        <f t="shared" si="85"/>
        <v>3524.6399999999994</v>
      </c>
      <c r="P208" s="7">
        <v>0.2</v>
      </c>
      <c r="Q208" s="69">
        <f t="shared" si="86"/>
        <v>3524.6399999999994</v>
      </c>
      <c r="R208" s="7">
        <v>0.36</v>
      </c>
      <c r="S208" s="69">
        <f t="shared" si="87"/>
        <v>6344.351999999999</v>
      </c>
      <c r="T208" s="7">
        <v>0.1</v>
      </c>
      <c r="U208" s="69">
        <f t="shared" si="88"/>
        <v>1762.3199999999997</v>
      </c>
      <c r="V208" s="6">
        <f t="shared" si="82"/>
        <v>14</v>
      </c>
      <c r="W208" s="3" t="s">
        <v>138</v>
      </c>
      <c r="X208" s="170">
        <v>1468.6</v>
      </c>
      <c r="Y208" s="6">
        <v>0.3</v>
      </c>
      <c r="Z208" s="69">
        <f t="shared" si="89"/>
        <v>5286.96</v>
      </c>
      <c r="AA208" s="7">
        <v>0.4</v>
      </c>
      <c r="AB208" s="69">
        <f t="shared" si="90"/>
        <v>7049.279999999999</v>
      </c>
      <c r="AC208" s="7">
        <v>0.3</v>
      </c>
      <c r="AD208" s="69">
        <f t="shared" si="91"/>
        <v>5286.96</v>
      </c>
      <c r="AE208" s="7">
        <v>0.1</v>
      </c>
      <c r="AF208" s="69">
        <f t="shared" si="92"/>
        <v>1762.3199999999997</v>
      </c>
      <c r="AG208" s="2"/>
      <c r="AH208" s="17"/>
      <c r="AI208" s="2"/>
      <c r="AJ208" s="2"/>
    </row>
    <row r="209" spans="1:36" ht="12.75">
      <c r="A209" s="2">
        <f t="shared" si="93"/>
        <v>193</v>
      </c>
      <c r="B209" s="6">
        <f t="shared" si="81"/>
        <v>15</v>
      </c>
      <c r="C209" s="3" t="s">
        <v>139</v>
      </c>
      <c r="D209" s="43">
        <v>2397.6</v>
      </c>
      <c r="E209" s="7">
        <f t="shared" si="78"/>
        <v>3.33</v>
      </c>
      <c r="F209" s="7">
        <f t="shared" si="80"/>
        <v>3.33</v>
      </c>
      <c r="G209" s="69">
        <f t="shared" si="79"/>
        <v>95808.096</v>
      </c>
      <c r="H209" s="7">
        <v>0.5</v>
      </c>
      <c r="I209" s="69">
        <f t="shared" si="83"/>
        <v>14385.599999999999</v>
      </c>
      <c r="J209" s="7">
        <v>0.4</v>
      </c>
      <c r="K209" s="69">
        <f aca="true" t="shared" si="94" ref="K209:K241">J209*D209*12</f>
        <v>11508.48</v>
      </c>
      <c r="L209" s="7">
        <v>0.3</v>
      </c>
      <c r="M209" s="69">
        <f t="shared" si="84"/>
        <v>8631.36</v>
      </c>
      <c r="N209" s="7">
        <v>0.5</v>
      </c>
      <c r="O209" s="69">
        <f t="shared" si="85"/>
        <v>14385.599999999999</v>
      </c>
      <c r="P209" s="7">
        <v>0.27</v>
      </c>
      <c r="Q209" s="69">
        <f t="shared" si="86"/>
        <v>7768.224</v>
      </c>
      <c r="R209" s="7">
        <v>0.36</v>
      </c>
      <c r="S209" s="69">
        <f t="shared" si="87"/>
        <v>10357.632</v>
      </c>
      <c r="T209" s="7">
        <v>0.1</v>
      </c>
      <c r="U209" s="69">
        <f t="shared" si="88"/>
        <v>2877.12</v>
      </c>
      <c r="V209" s="6">
        <f t="shared" si="82"/>
        <v>15</v>
      </c>
      <c r="W209" s="3" t="s">
        <v>139</v>
      </c>
      <c r="X209" s="43">
        <v>2397.6</v>
      </c>
      <c r="Y209" s="6">
        <v>0.3</v>
      </c>
      <c r="Z209" s="69">
        <f t="shared" si="89"/>
        <v>8631.36</v>
      </c>
      <c r="AA209" s="7">
        <v>0.3</v>
      </c>
      <c r="AB209" s="69">
        <f t="shared" si="90"/>
        <v>8631.36</v>
      </c>
      <c r="AC209" s="7">
        <v>0.2</v>
      </c>
      <c r="AD209" s="69">
        <f t="shared" si="91"/>
        <v>5754.24</v>
      </c>
      <c r="AE209" s="7">
        <v>0.1</v>
      </c>
      <c r="AF209" s="69">
        <f t="shared" si="92"/>
        <v>2877.12</v>
      </c>
      <c r="AG209" s="2"/>
      <c r="AH209" s="17"/>
      <c r="AI209" s="2"/>
      <c r="AJ209" s="2"/>
    </row>
    <row r="210" spans="1:36" ht="12.75">
      <c r="A210" s="2">
        <f t="shared" si="93"/>
        <v>194</v>
      </c>
      <c r="B210" s="6">
        <f t="shared" si="81"/>
        <v>16</v>
      </c>
      <c r="C210" s="3" t="s">
        <v>140</v>
      </c>
      <c r="D210" s="43">
        <v>1259.1</v>
      </c>
      <c r="E210" s="7">
        <f t="shared" si="78"/>
        <v>4.109999999999999</v>
      </c>
      <c r="F210" s="7">
        <f t="shared" si="80"/>
        <v>4.11</v>
      </c>
      <c r="G210" s="69">
        <f t="shared" si="79"/>
        <v>62098.812</v>
      </c>
      <c r="H210" s="7">
        <v>0.6</v>
      </c>
      <c r="I210" s="69">
        <f t="shared" si="83"/>
        <v>9065.519999999999</v>
      </c>
      <c r="J210" s="7">
        <v>0.5</v>
      </c>
      <c r="K210" s="69">
        <f t="shared" si="94"/>
        <v>7554.599999999999</v>
      </c>
      <c r="L210" s="7">
        <v>0.3</v>
      </c>
      <c r="M210" s="69">
        <f t="shared" si="84"/>
        <v>4532.759999999999</v>
      </c>
      <c r="N210" s="7">
        <v>0.5</v>
      </c>
      <c r="O210" s="69">
        <f t="shared" si="85"/>
        <v>7554.599999999999</v>
      </c>
      <c r="P210" s="7">
        <v>0.3</v>
      </c>
      <c r="Q210" s="69">
        <f t="shared" si="86"/>
        <v>4532.759999999999</v>
      </c>
      <c r="R210" s="7">
        <v>0.36</v>
      </c>
      <c r="S210" s="69">
        <f t="shared" si="87"/>
        <v>5439.312</v>
      </c>
      <c r="T210" s="7">
        <v>0.15</v>
      </c>
      <c r="U210" s="69">
        <f t="shared" si="88"/>
        <v>2266.3799999999997</v>
      </c>
      <c r="V210" s="6">
        <f t="shared" si="82"/>
        <v>16</v>
      </c>
      <c r="W210" s="3" t="s">
        <v>140</v>
      </c>
      <c r="X210" s="43">
        <v>1259.1</v>
      </c>
      <c r="Y210" s="6">
        <v>0.4</v>
      </c>
      <c r="Z210" s="69">
        <f t="shared" si="89"/>
        <v>6043.68</v>
      </c>
      <c r="AA210" s="7">
        <v>0.4</v>
      </c>
      <c r="AB210" s="69">
        <f t="shared" si="90"/>
        <v>6043.68</v>
      </c>
      <c r="AC210" s="7">
        <v>0.4</v>
      </c>
      <c r="AD210" s="69">
        <f t="shared" si="91"/>
        <v>6043.68</v>
      </c>
      <c r="AE210" s="7">
        <v>0.2</v>
      </c>
      <c r="AF210" s="69">
        <f t="shared" si="92"/>
        <v>3021.84</v>
      </c>
      <c r="AG210" s="2"/>
      <c r="AH210" s="17"/>
      <c r="AI210" s="2"/>
      <c r="AJ210" s="2"/>
    </row>
    <row r="211" spans="1:36" ht="12.75">
      <c r="A211" s="2">
        <f t="shared" si="93"/>
        <v>195</v>
      </c>
      <c r="B211" s="6">
        <f t="shared" si="81"/>
        <v>17</v>
      </c>
      <c r="C211" s="3" t="s">
        <v>141</v>
      </c>
      <c r="D211" s="43">
        <v>6279.3</v>
      </c>
      <c r="E211" s="7">
        <f t="shared" si="78"/>
        <v>3.1400000000000006</v>
      </c>
      <c r="F211" s="7">
        <f t="shared" si="80"/>
        <v>3.14</v>
      </c>
      <c r="G211" s="69">
        <f t="shared" si="79"/>
        <v>236604.024</v>
      </c>
      <c r="H211" s="7">
        <v>0.43</v>
      </c>
      <c r="I211" s="69">
        <f t="shared" si="83"/>
        <v>32401.188000000002</v>
      </c>
      <c r="J211" s="7">
        <v>0.4</v>
      </c>
      <c r="K211" s="69">
        <f t="shared" si="94"/>
        <v>30140.640000000003</v>
      </c>
      <c r="L211" s="7">
        <v>0.3</v>
      </c>
      <c r="M211" s="69">
        <f t="shared" si="84"/>
        <v>22605.48</v>
      </c>
      <c r="N211" s="7">
        <v>0.3</v>
      </c>
      <c r="O211" s="69">
        <f t="shared" si="85"/>
        <v>22605.48</v>
      </c>
      <c r="P211" s="7">
        <v>0.3</v>
      </c>
      <c r="Q211" s="69">
        <f t="shared" si="86"/>
        <v>22605.48</v>
      </c>
      <c r="R211" s="7">
        <v>0.36</v>
      </c>
      <c r="S211" s="69">
        <f t="shared" si="87"/>
        <v>27126.575999999997</v>
      </c>
      <c r="T211" s="7">
        <v>0.1</v>
      </c>
      <c r="U211" s="69">
        <f t="shared" si="88"/>
        <v>7535.160000000001</v>
      </c>
      <c r="V211" s="6">
        <f t="shared" si="82"/>
        <v>17</v>
      </c>
      <c r="W211" s="3" t="s">
        <v>141</v>
      </c>
      <c r="X211" s="43">
        <v>6279.3</v>
      </c>
      <c r="Y211" s="6">
        <v>0.3</v>
      </c>
      <c r="Z211" s="69">
        <f t="shared" si="89"/>
        <v>22605.48</v>
      </c>
      <c r="AA211" s="7">
        <v>0.35</v>
      </c>
      <c r="AB211" s="69">
        <f t="shared" si="90"/>
        <v>26373.06</v>
      </c>
      <c r="AC211" s="7">
        <v>0.2</v>
      </c>
      <c r="AD211" s="69">
        <f t="shared" si="91"/>
        <v>15070.320000000002</v>
      </c>
      <c r="AE211" s="7">
        <v>0.1</v>
      </c>
      <c r="AF211" s="69">
        <f t="shared" si="92"/>
        <v>7535.160000000001</v>
      </c>
      <c r="AG211" s="2"/>
      <c r="AH211" s="17"/>
      <c r="AI211" s="2"/>
      <c r="AJ211" s="2"/>
    </row>
    <row r="212" spans="1:36" ht="12.75">
      <c r="A212" s="2">
        <f t="shared" si="93"/>
        <v>196</v>
      </c>
      <c r="B212" s="6">
        <f t="shared" si="81"/>
        <v>18</v>
      </c>
      <c r="C212" s="3" t="s">
        <v>142</v>
      </c>
      <c r="D212" s="43">
        <v>1263.4</v>
      </c>
      <c r="E212" s="7">
        <f t="shared" si="78"/>
        <v>2.84</v>
      </c>
      <c r="F212" s="7">
        <f t="shared" si="80"/>
        <v>2.8400000000000003</v>
      </c>
      <c r="G212" s="69">
        <f t="shared" si="79"/>
        <v>43056.672000000006</v>
      </c>
      <c r="H212" s="7">
        <v>0.51</v>
      </c>
      <c r="I212" s="69">
        <f t="shared" si="83"/>
        <v>7732.008000000001</v>
      </c>
      <c r="J212" s="7">
        <v>0.4</v>
      </c>
      <c r="K212" s="69">
        <f t="shared" si="94"/>
        <v>6064.320000000001</v>
      </c>
      <c r="L212" s="7">
        <v>0.3</v>
      </c>
      <c r="M212" s="69">
        <f t="shared" si="84"/>
        <v>4548.240000000001</v>
      </c>
      <c r="N212" s="7">
        <v>0.1</v>
      </c>
      <c r="O212" s="69">
        <f t="shared" si="85"/>
        <v>1516.0800000000002</v>
      </c>
      <c r="P212" s="7">
        <v>0.1</v>
      </c>
      <c r="Q212" s="69">
        <f t="shared" si="86"/>
        <v>1516.0800000000002</v>
      </c>
      <c r="R212" s="7">
        <v>0.36</v>
      </c>
      <c r="S212" s="69">
        <f t="shared" si="87"/>
        <v>5457.888</v>
      </c>
      <c r="T212" s="7">
        <v>0.1</v>
      </c>
      <c r="U212" s="69">
        <f t="shared" si="88"/>
        <v>1516.0800000000002</v>
      </c>
      <c r="V212" s="6">
        <f t="shared" si="82"/>
        <v>18</v>
      </c>
      <c r="W212" s="3" t="s">
        <v>142</v>
      </c>
      <c r="X212" s="43">
        <v>1263.4</v>
      </c>
      <c r="Y212" s="6">
        <v>0.3</v>
      </c>
      <c r="Z212" s="69">
        <f t="shared" si="89"/>
        <v>4548.240000000001</v>
      </c>
      <c r="AA212" s="7">
        <v>0.3</v>
      </c>
      <c r="AB212" s="69">
        <f t="shared" si="90"/>
        <v>4548.240000000001</v>
      </c>
      <c r="AC212" s="7">
        <v>0.27</v>
      </c>
      <c r="AD212" s="69">
        <f t="shared" si="91"/>
        <v>4093.4160000000006</v>
      </c>
      <c r="AE212" s="7">
        <v>0.1</v>
      </c>
      <c r="AF212" s="69">
        <f t="shared" si="92"/>
        <v>1516.0800000000002</v>
      </c>
      <c r="AG212" s="2"/>
      <c r="AH212" s="17"/>
      <c r="AI212" s="2"/>
      <c r="AJ212" s="2"/>
    </row>
    <row r="213" spans="1:36" ht="12.75">
      <c r="A213" s="2">
        <f t="shared" si="93"/>
        <v>197</v>
      </c>
      <c r="B213" s="6">
        <f t="shared" si="81"/>
        <v>19</v>
      </c>
      <c r="C213" s="3" t="s">
        <v>143</v>
      </c>
      <c r="D213" s="43">
        <v>2413.5</v>
      </c>
      <c r="E213" s="7">
        <f t="shared" si="78"/>
        <v>3.26</v>
      </c>
      <c r="F213" s="7">
        <f t="shared" si="80"/>
        <v>3.26</v>
      </c>
      <c r="G213" s="69">
        <f t="shared" si="79"/>
        <v>94416.12</v>
      </c>
      <c r="H213" s="7">
        <v>0.5</v>
      </c>
      <c r="I213" s="69">
        <f t="shared" si="83"/>
        <v>14481</v>
      </c>
      <c r="J213" s="7">
        <v>0.4</v>
      </c>
      <c r="K213" s="69">
        <f t="shared" si="94"/>
        <v>11584.800000000001</v>
      </c>
      <c r="L213" s="7">
        <v>0.3</v>
      </c>
      <c r="M213" s="69">
        <f t="shared" si="84"/>
        <v>8688.599999999999</v>
      </c>
      <c r="N213" s="7">
        <v>0.3</v>
      </c>
      <c r="O213" s="69">
        <f t="shared" si="85"/>
        <v>8688.599999999999</v>
      </c>
      <c r="P213" s="7">
        <v>0.3</v>
      </c>
      <c r="Q213" s="69">
        <f t="shared" si="86"/>
        <v>8688.599999999999</v>
      </c>
      <c r="R213" s="7">
        <v>0.36</v>
      </c>
      <c r="S213" s="69">
        <f t="shared" si="87"/>
        <v>10426.32</v>
      </c>
      <c r="T213" s="7">
        <v>0.1</v>
      </c>
      <c r="U213" s="69">
        <f t="shared" si="88"/>
        <v>2896.2000000000003</v>
      </c>
      <c r="V213" s="6">
        <f t="shared" si="82"/>
        <v>19</v>
      </c>
      <c r="W213" s="3" t="s">
        <v>143</v>
      </c>
      <c r="X213" s="43">
        <v>2413.5</v>
      </c>
      <c r="Y213" s="6">
        <v>0.3</v>
      </c>
      <c r="Z213" s="69">
        <f t="shared" si="89"/>
        <v>8688.599999999999</v>
      </c>
      <c r="AA213" s="7">
        <v>0.3</v>
      </c>
      <c r="AB213" s="69">
        <f t="shared" si="90"/>
        <v>8688.599999999999</v>
      </c>
      <c r="AC213" s="7">
        <v>0.3</v>
      </c>
      <c r="AD213" s="69">
        <f t="shared" si="91"/>
        <v>8688.599999999999</v>
      </c>
      <c r="AE213" s="7">
        <v>0.1</v>
      </c>
      <c r="AF213" s="69">
        <f t="shared" si="92"/>
        <v>2896.2000000000003</v>
      </c>
      <c r="AG213" s="2"/>
      <c r="AH213" s="17"/>
      <c r="AI213" s="2"/>
      <c r="AJ213" s="2"/>
    </row>
    <row r="214" spans="1:36" ht="12.75">
      <c r="A214" s="2">
        <f t="shared" si="93"/>
        <v>198</v>
      </c>
      <c r="B214" s="6">
        <f t="shared" si="81"/>
        <v>20</v>
      </c>
      <c r="C214" s="3" t="s">
        <v>144</v>
      </c>
      <c r="D214" s="43">
        <v>2448.28</v>
      </c>
      <c r="E214" s="7">
        <f t="shared" si="78"/>
        <v>2.7899999999999996</v>
      </c>
      <c r="F214" s="7">
        <f t="shared" si="80"/>
        <v>2.7900000000000005</v>
      </c>
      <c r="G214" s="69">
        <f t="shared" si="79"/>
        <v>81968.41440000002</v>
      </c>
      <c r="H214" s="7">
        <v>0.43</v>
      </c>
      <c r="I214" s="69">
        <f t="shared" si="83"/>
        <v>12633.124800000001</v>
      </c>
      <c r="J214" s="7">
        <v>0.3</v>
      </c>
      <c r="K214" s="69">
        <f t="shared" si="94"/>
        <v>8813.808</v>
      </c>
      <c r="L214" s="7">
        <v>0.3</v>
      </c>
      <c r="M214" s="69">
        <f t="shared" si="84"/>
        <v>8813.808</v>
      </c>
      <c r="N214" s="7">
        <v>0.1</v>
      </c>
      <c r="O214" s="69">
        <f t="shared" si="85"/>
        <v>2937.9360000000006</v>
      </c>
      <c r="P214" s="7">
        <v>0.2</v>
      </c>
      <c r="Q214" s="69">
        <f t="shared" si="86"/>
        <v>5875.872000000001</v>
      </c>
      <c r="R214" s="7">
        <v>0.36</v>
      </c>
      <c r="S214" s="69">
        <f t="shared" si="87"/>
        <v>10576.5696</v>
      </c>
      <c r="T214" s="7">
        <v>0.1</v>
      </c>
      <c r="U214" s="69">
        <f t="shared" si="88"/>
        <v>2937.9360000000006</v>
      </c>
      <c r="V214" s="6">
        <f t="shared" si="82"/>
        <v>20</v>
      </c>
      <c r="W214" s="3" t="s">
        <v>144</v>
      </c>
      <c r="X214" s="43">
        <v>2448.28</v>
      </c>
      <c r="Y214" s="6">
        <v>0.3</v>
      </c>
      <c r="Z214" s="69">
        <f t="shared" si="89"/>
        <v>8813.808</v>
      </c>
      <c r="AA214" s="7">
        <v>0.3</v>
      </c>
      <c r="AB214" s="69">
        <f t="shared" si="90"/>
        <v>8813.808</v>
      </c>
      <c r="AC214" s="7">
        <v>0.3</v>
      </c>
      <c r="AD214" s="69">
        <f t="shared" si="91"/>
        <v>8813.808</v>
      </c>
      <c r="AE214" s="7">
        <v>0.1</v>
      </c>
      <c r="AF214" s="69">
        <f t="shared" si="92"/>
        <v>2937.9360000000006</v>
      </c>
      <c r="AG214" s="2"/>
      <c r="AH214" s="17"/>
      <c r="AI214" s="2"/>
      <c r="AJ214" s="2"/>
    </row>
    <row r="215" spans="1:36" ht="12.75">
      <c r="A215" s="2">
        <f t="shared" si="93"/>
        <v>199</v>
      </c>
      <c r="B215" s="6">
        <f t="shared" si="81"/>
        <v>21</v>
      </c>
      <c r="C215" s="3" t="s">
        <v>145</v>
      </c>
      <c r="D215" s="43">
        <v>3086.1</v>
      </c>
      <c r="E215" s="7">
        <f t="shared" si="78"/>
        <v>2.84</v>
      </c>
      <c r="F215" s="7">
        <f t="shared" si="80"/>
        <v>2.84</v>
      </c>
      <c r="G215" s="69">
        <f t="shared" si="79"/>
        <v>105174.288</v>
      </c>
      <c r="H215" s="7">
        <v>0.48</v>
      </c>
      <c r="I215" s="69">
        <f t="shared" si="83"/>
        <v>17775.936</v>
      </c>
      <c r="J215" s="7">
        <v>0.3</v>
      </c>
      <c r="K215" s="69">
        <f t="shared" si="94"/>
        <v>11109.96</v>
      </c>
      <c r="L215" s="7">
        <v>0.3</v>
      </c>
      <c r="M215" s="69">
        <f t="shared" si="84"/>
        <v>11109.96</v>
      </c>
      <c r="N215" s="7">
        <v>0.1</v>
      </c>
      <c r="O215" s="69">
        <f t="shared" si="85"/>
        <v>3703.32</v>
      </c>
      <c r="P215" s="7">
        <v>0.2</v>
      </c>
      <c r="Q215" s="69">
        <f t="shared" si="86"/>
        <v>7406.64</v>
      </c>
      <c r="R215" s="7">
        <v>0.36</v>
      </c>
      <c r="S215" s="69">
        <f t="shared" si="87"/>
        <v>13331.951999999997</v>
      </c>
      <c r="T215" s="7">
        <v>0.1</v>
      </c>
      <c r="U215" s="69">
        <f t="shared" si="88"/>
        <v>3703.32</v>
      </c>
      <c r="V215" s="6">
        <f t="shared" si="82"/>
        <v>21</v>
      </c>
      <c r="W215" s="3" t="s">
        <v>145</v>
      </c>
      <c r="X215" s="43">
        <v>3086.1</v>
      </c>
      <c r="Y215" s="6">
        <v>0.3</v>
      </c>
      <c r="Z215" s="69">
        <f t="shared" si="89"/>
        <v>11109.96</v>
      </c>
      <c r="AA215" s="7">
        <v>0.3</v>
      </c>
      <c r="AB215" s="69">
        <f t="shared" si="90"/>
        <v>11109.96</v>
      </c>
      <c r="AC215" s="7">
        <v>0.3</v>
      </c>
      <c r="AD215" s="69">
        <f t="shared" si="91"/>
        <v>11109.96</v>
      </c>
      <c r="AE215" s="7">
        <v>0.1</v>
      </c>
      <c r="AF215" s="69">
        <f t="shared" si="92"/>
        <v>3703.32</v>
      </c>
      <c r="AG215" s="2"/>
      <c r="AH215" s="17"/>
      <c r="AI215" s="2"/>
      <c r="AJ215" s="2"/>
    </row>
    <row r="216" spans="1:36" ht="12.75">
      <c r="A216" s="6" t="e">
        <f>#REF!+1</f>
        <v>#REF!</v>
      </c>
      <c r="B216" s="6">
        <f t="shared" si="81"/>
        <v>22</v>
      </c>
      <c r="C216" s="3" t="s">
        <v>223</v>
      </c>
      <c r="D216" s="12">
        <v>2035.9</v>
      </c>
      <c r="E216" s="7">
        <f t="shared" si="78"/>
        <v>0.9200000000000002</v>
      </c>
      <c r="F216" s="7">
        <f t="shared" si="80"/>
        <v>0.9199999999999999</v>
      </c>
      <c r="G216" s="69">
        <f t="shared" si="79"/>
        <v>22476.336</v>
      </c>
      <c r="H216" s="7">
        <v>0.1</v>
      </c>
      <c r="I216" s="69">
        <f t="shared" si="83"/>
        <v>2443.0800000000004</v>
      </c>
      <c r="J216" s="7">
        <v>0.07</v>
      </c>
      <c r="K216" s="69">
        <f t="shared" si="94"/>
        <v>1710.1560000000004</v>
      </c>
      <c r="L216" s="7">
        <v>0.04</v>
      </c>
      <c r="M216" s="69">
        <f t="shared" si="84"/>
        <v>977.2320000000001</v>
      </c>
      <c r="N216" s="7">
        <v>0.1</v>
      </c>
      <c r="O216" s="69">
        <f t="shared" si="85"/>
        <v>2443.0800000000004</v>
      </c>
      <c r="P216" s="7">
        <v>0.05</v>
      </c>
      <c r="Q216" s="69">
        <f t="shared" si="86"/>
        <v>1221.5400000000002</v>
      </c>
      <c r="R216" s="7">
        <v>0.36</v>
      </c>
      <c r="S216" s="69">
        <f t="shared" si="87"/>
        <v>8795.088</v>
      </c>
      <c r="T216" s="7">
        <v>0.04</v>
      </c>
      <c r="U216" s="69">
        <f t="shared" si="88"/>
        <v>977.2320000000001</v>
      </c>
      <c r="V216" s="6">
        <f t="shared" si="82"/>
        <v>22</v>
      </c>
      <c r="W216" s="3" t="s">
        <v>223</v>
      </c>
      <c r="X216" s="12">
        <v>2035.9</v>
      </c>
      <c r="Y216" s="6">
        <v>0.03</v>
      </c>
      <c r="Z216" s="69">
        <f t="shared" si="89"/>
        <v>732.924</v>
      </c>
      <c r="AA216" s="7">
        <v>0.05</v>
      </c>
      <c r="AB216" s="69">
        <f t="shared" si="90"/>
        <v>1221.5400000000002</v>
      </c>
      <c r="AC216" s="7">
        <v>0.05</v>
      </c>
      <c r="AD216" s="69">
        <f t="shared" si="91"/>
        <v>1221.5400000000002</v>
      </c>
      <c r="AE216" s="7">
        <v>0.03</v>
      </c>
      <c r="AF216" s="69">
        <f>AE216*D216*12</f>
        <v>732.924</v>
      </c>
      <c r="AG216" s="2">
        <v>0.35</v>
      </c>
      <c r="AH216" s="17">
        <f>AG216*D216*12</f>
        <v>8550.779999999999</v>
      </c>
      <c r="AI216" s="2"/>
      <c r="AJ216" s="2"/>
    </row>
    <row r="217" spans="1:36" ht="12.75">
      <c r="A217" s="6" t="e">
        <f>A216+1</f>
        <v>#REF!</v>
      </c>
      <c r="B217" s="6">
        <f t="shared" si="81"/>
        <v>23</v>
      </c>
      <c r="C217" s="3" t="s">
        <v>146</v>
      </c>
      <c r="D217" s="12">
        <v>1891.8</v>
      </c>
      <c r="E217" s="7">
        <f t="shared" si="78"/>
        <v>1.88</v>
      </c>
      <c r="F217" s="7">
        <f t="shared" si="80"/>
        <v>1.8800000000000001</v>
      </c>
      <c r="G217" s="69">
        <f t="shared" si="79"/>
        <v>42679.008</v>
      </c>
      <c r="H217" s="7">
        <v>0.3</v>
      </c>
      <c r="I217" s="69">
        <f t="shared" si="83"/>
        <v>6810.48</v>
      </c>
      <c r="J217" s="7">
        <v>0.12</v>
      </c>
      <c r="K217" s="69">
        <f t="shared" si="94"/>
        <v>2724.192</v>
      </c>
      <c r="L217" s="7">
        <v>0.1</v>
      </c>
      <c r="M217" s="69">
        <f t="shared" si="84"/>
        <v>2270.16</v>
      </c>
      <c r="N217" s="7">
        <v>0.2</v>
      </c>
      <c r="O217" s="69">
        <f t="shared" si="85"/>
        <v>4540.32</v>
      </c>
      <c r="P217" s="7">
        <v>0.2</v>
      </c>
      <c r="Q217" s="69">
        <f t="shared" si="86"/>
        <v>4540.32</v>
      </c>
      <c r="R217" s="7">
        <v>0.36</v>
      </c>
      <c r="S217" s="69">
        <f t="shared" si="87"/>
        <v>8172.576</v>
      </c>
      <c r="T217" s="7">
        <v>0.06</v>
      </c>
      <c r="U217" s="69">
        <f t="shared" si="88"/>
        <v>1362.096</v>
      </c>
      <c r="V217" s="6">
        <f t="shared" si="82"/>
        <v>23</v>
      </c>
      <c r="W217" s="3" t="s">
        <v>146</v>
      </c>
      <c r="X217" s="12">
        <v>1891.8</v>
      </c>
      <c r="Y217" s="6">
        <v>0.04</v>
      </c>
      <c r="Z217" s="69">
        <f t="shared" si="89"/>
        <v>908.064</v>
      </c>
      <c r="AA217" s="7">
        <v>0.3</v>
      </c>
      <c r="AB217" s="69">
        <f t="shared" si="90"/>
        <v>6810.48</v>
      </c>
      <c r="AC217" s="7">
        <v>0.12</v>
      </c>
      <c r="AD217" s="69">
        <f t="shared" si="91"/>
        <v>2724.192</v>
      </c>
      <c r="AE217" s="7">
        <v>0.08</v>
      </c>
      <c r="AF217" s="69">
        <f t="shared" si="92"/>
        <v>1816.128</v>
      </c>
      <c r="AG217" s="2">
        <v>0.38</v>
      </c>
      <c r="AH217" s="17">
        <f>AG217*D217*12</f>
        <v>8626.608</v>
      </c>
      <c r="AI217" s="2"/>
      <c r="AJ217" s="2"/>
    </row>
    <row r="218" spans="1:36" ht="12.75">
      <c r="A218" s="6" t="e">
        <f>A217+1</f>
        <v>#REF!</v>
      </c>
      <c r="B218" s="6">
        <f t="shared" si="81"/>
        <v>24</v>
      </c>
      <c r="C218" s="3" t="s">
        <v>147</v>
      </c>
      <c r="D218" s="170">
        <v>3064</v>
      </c>
      <c r="E218" s="7">
        <f t="shared" si="78"/>
        <v>2.7199999999999993</v>
      </c>
      <c r="F218" s="7">
        <f t="shared" si="80"/>
        <v>2.72</v>
      </c>
      <c r="G218" s="69">
        <f t="shared" si="79"/>
        <v>100008.95999999999</v>
      </c>
      <c r="H218" s="7">
        <v>0.41</v>
      </c>
      <c r="I218" s="69">
        <f t="shared" si="83"/>
        <v>15074.880000000001</v>
      </c>
      <c r="J218" s="7">
        <v>0.3</v>
      </c>
      <c r="K218" s="69">
        <f t="shared" si="94"/>
        <v>11030.4</v>
      </c>
      <c r="L218" s="7">
        <v>0.2</v>
      </c>
      <c r="M218" s="69">
        <f t="shared" si="84"/>
        <v>7353.6</v>
      </c>
      <c r="N218" s="7">
        <v>0.4</v>
      </c>
      <c r="O218" s="69">
        <f t="shared" si="85"/>
        <v>14707.2</v>
      </c>
      <c r="P218" s="7">
        <v>0.1</v>
      </c>
      <c r="Q218" s="69">
        <f t="shared" si="86"/>
        <v>3676.8</v>
      </c>
      <c r="R218" s="7">
        <v>0.36</v>
      </c>
      <c r="S218" s="69">
        <f t="shared" si="87"/>
        <v>13236.48</v>
      </c>
      <c r="T218" s="7">
        <v>0.18</v>
      </c>
      <c r="U218" s="69">
        <f t="shared" si="88"/>
        <v>6618.24</v>
      </c>
      <c r="V218" s="6">
        <f t="shared" si="82"/>
        <v>24</v>
      </c>
      <c r="W218" s="3" t="s">
        <v>147</v>
      </c>
      <c r="X218" s="170">
        <v>3064</v>
      </c>
      <c r="Y218" s="6">
        <v>0.27</v>
      </c>
      <c r="Z218" s="69">
        <f t="shared" si="89"/>
        <v>9927.36</v>
      </c>
      <c r="AA218" s="7">
        <v>0.3</v>
      </c>
      <c r="AB218" s="69">
        <f t="shared" si="90"/>
        <v>11030.4</v>
      </c>
      <c r="AC218" s="7">
        <v>0.15</v>
      </c>
      <c r="AD218" s="69">
        <f t="shared" si="91"/>
        <v>5515.2</v>
      </c>
      <c r="AE218" s="7">
        <v>0.05</v>
      </c>
      <c r="AF218" s="69">
        <f t="shared" si="92"/>
        <v>1838.4</v>
      </c>
      <c r="AG218" s="2"/>
      <c r="AH218" s="17"/>
      <c r="AI218" s="2"/>
      <c r="AJ218" s="2"/>
    </row>
    <row r="219" spans="1:36" ht="12.75">
      <c r="A219" s="6" t="e">
        <f aca="true" t="shared" si="95" ref="A219:A241">A218+1</f>
        <v>#REF!</v>
      </c>
      <c r="B219" s="6">
        <f t="shared" si="81"/>
        <v>25</v>
      </c>
      <c r="C219" s="3" t="s">
        <v>148</v>
      </c>
      <c r="D219" s="170">
        <v>3074.9</v>
      </c>
      <c r="E219" s="7">
        <f t="shared" si="78"/>
        <v>2.29</v>
      </c>
      <c r="F219" s="7">
        <f t="shared" si="80"/>
        <v>2.2899999999999996</v>
      </c>
      <c r="G219" s="69">
        <f t="shared" si="79"/>
        <v>84498.252</v>
      </c>
      <c r="H219" s="7">
        <v>0.41</v>
      </c>
      <c r="I219" s="69">
        <f t="shared" si="83"/>
        <v>15128.508000000002</v>
      </c>
      <c r="J219" s="7">
        <v>0.3</v>
      </c>
      <c r="K219" s="69">
        <f t="shared" si="94"/>
        <v>11069.64</v>
      </c>
      <c r="L219" s="7">
        <v>0.2</v>
      </c>
      <c r="M219" s="69">
        <f t="shared" si="84"/>
        <v>7379.76</v>
      </c>
      <c r="N219" s="7">
        <v>0.1</v>
      </c>
      <c r="O219" s="69">
        <f t="shared" si="85"/>
        <v>3689.88</v>
      </c>
      <c r="P219" s="7">
        <v>0.1</v>
      </c>
      <c r="Q219" s="69">
        <f t="shared" si="86"/>
        <v>3689.88</v>
      </c>
      <c r="R219" s="7">
        <v>0.36</v>
      </c>
      <c r="S219" s="69">
        <f t="shared" si="87"/>
        <v>13283.568</v>
      </c>
      <c r="T219" s="7">
        <v>0.05</v>
      </c>
      <c r="U219" s="69">
        <f t="shared" si="88"/>
        <v>1844.94</v>
      </c>
      <c r="V219" s="6">
        <f t="shared" si="82"/>
        <v>25</v>
      </c>
      <c r="W219" s="3" t="s">
        <v>148</v>
      </c>
      <c r="X219" s="170">
        <v>3074.9</v>
      </c>
      <c r="Y219" s="6">
        <v>0.27</v>
      </c>
      <c r="Z219" s="69">
        <f t="shared" si="89"/>
        <v>9962.676000000001</v>
      </c>
      <c r="AA219" s="7">
        <v>0.3</v>
      </c>
      <c r="AB219" s="69">
        <f t="shared" si="90"/>
        <v>11069.64</v>
      </c>
      <c r="AC219" s="7">
        <v>0.15</v>
      </c>
      <c r="AD219" s="69">
        <f t="shared" si="91"/>
        <v>5534.82</v>
      </c>
      <c r="AE219" s="7">
        <v>0.05</v>
      </c>
      <c r="AF219" s="69">
        <f t="shared" si="92"/>
        <v>1844.94</v>
      </c>
      <c r="AG219" s="2"/>
      <c r="AH219" s="17"/>
      <c r="AI219" s="2"/>
      <c r="AJ219" s="2"/>
    </row>
    <row r="220" spans="1:36" ht="12.75">
      <c r="A220" s="6" t="e">
        <f t="shared" si="95"/>
        <v>#REF!</v>
      </c>
      <c r="B220" s="6">
        <f t="shared" si="81"/>
        <v>26</v>
      </c>
      <c r="C220" s="3" t="s">
        <v>149</v>
      </c>
      <c r="D220" s="12">
        <v>3452.5</v>
      </c>
      <c r="E220" s="7">
        <f t="shared" si="78"/>
        <v>2.7899999999999996</v>
      </c>
      <c r="F220" s="7">
        <f t="shared" si="80"/>
        <v>2.7899999999999996</v>
      </c>
      <c r="G220" s="69">
        <f t="shared" si="79"/>
        <v>115589.7</v>
      </c>
      <c r="H220" s="7">
        <v>0.43</v>
      </c>
      <c r="I220" s="69">
        <f t="shared" si="83"/>
        <v>17814.9</v>
      </c>
      <c r="J220" s="7">
        <v>0.3</v>
      </c>
      <c r="K220" s="69">
        <f t="shared" si="94"/>
        <v>12429</v>
      </c>
      <c r="L220" s="7">
        <v>0.3</v>
      </c>
      <c r="M220" s="69">
        <f t="shared" si="84"/>
        <v>12429</v>
      </c>
      <c r="N220" s="7">
        <v>0.1</v>
      </c>
      <c r="O220" s="69">
        <f t="shared" si="85"/>
        <v>4143</v>
      </c>
      <c r="P220" s="7">
        <v>0.2</v>
      </c>
      <c r="Q220" s="69">
        <f t="shared" si="86"/>
        <v>8286</v>
      </c>
      <c r="R220" s="7">
        <v>0.36</v>
      </c>
      <c r="S220" s="69">
        <f t="shared" si="87"/>
        <v>14914.8</v>
      </c>
      <c r="T220" s="7">
        <v>0.1</v>
      </c>
      <c r="U220" s="69">
        <f t="shared" si="88"/>
        <v>4143</v>
      </c>
      <c r="V220" s="6">
        <f t="shared" si="82"/>
        <v>26</v>
      </c>
      <c r="W220" s="3" t="s">
        <v>149</v>
      </c>
      <c r="X220" s="12">
        <v>3452.5</v>
      </c>
      <c r="Y220" s="6">
        <v>0.3</v>
      </c>
      <c r="Z220" s="69">
        <f t="shared" si="89"/>
        <v>12429</v>
      </c>
      <c r="AA220" s="7">
        <v>0.3</v>
      </c>
      <c r="AB220" s="69">
        <f t="shared" si="90"/>
        <v>12429</v>
      </c>
      <c r="AC220" s="7">
        <v>0.3</v>
      </c>
      <c r="AD220" s="69">
        <f t="shared" si="91"/>
        <v>12429</v>
      </c>
      <c r="AE220" s="7">
        <v>0.1</v>
      </c>
      <c r="AF220" s="69">
        <f t="shared" si="92"/>
        <v>4143</v>
      </c>
      <c r="AG220" s="2"/>
      <c r="AH220" s="17"/>
      <c r="AI220" s="2"/>
      <c r="AJ220" s="2"/>
    </row>
    <row r="221" spans="1:36" ht="12.75">
      <c r="A221" s="6" t="e">
        <f t="shared" si="95"/>
        <v>#REF!</v>
      </c>
      <c r="B221" s="6">
        <f t="shared" si="81"/>
        <v>27</v>
      </c>
      <c r="C221" s="3" t="s">
        <v>150</v>
      </c>
      <c r="D221" s="170">
        <v>2191.5</v>
      </c>
      <c r="E221" s="7">
        <f t="shared" si="78"/>
        <v>2.7899999999999996</v>
      </c>
      <c r="F221" s="7">
        <f t="shared" si="80"/>
        <v>2.7900000000000005</v>
      </c>
      <c r="G221" s="69">
        <f t="shared" si="79"/>
        <v>73371.42000000001</v>
      </c>
      <c r="H221" s="7">
        <v>0.43</v>
      </c>
      <c r="I221" s="69">
        <f t="shared" si="83"/>
        <v>11308.14</v>
      </c>
      <c r="J221" s="7">
        <v>0.3</v>
      </c>
      <c r="K221" s="69">
        <f t="shared" si="94"/>
        <v>7889.4</v>
      </c>
      <c r="L221" s="7">
        <v>0.3</v>
      </c>
      <c r="M221" s="69">
        <f t="shared" si="84"/>
        <v>7889.4</v>
      </c>
      <c r="N221" s="7">
        <v>0.1</v>
      </c>
      <c r="O221" s="69">
        <f t="shared" si="85"/>
        <v>2629.8</v>
      </c>
      <c r="P221" s="7">
        <v>0.2</v>
      </c>
      <c r="Q221" s="69">
        <f t="shared" si="86"/>
        <v>5259.6</v>
      </c>
      <c r="R221" s="7">
        <v>0.36</v>
      </c>
      <c r="S221" s="69">
        <f t="shared" si="87"/>
        <v>9467.279999999999</v>
      </c>
      <c r="T221" s="7">
        <v>0.1</v>
      </c>
      <c r="U221" s="69">
        <f t="shared" si="88"/>
        <v>2629.8</v>
      </c>
      <c r="V221" s="6">
        <f t="shared" si="82"/>
        <v>27</v>
      </c>
      <c r="W221" s="3" t="s">
        <v>150</v>
      </c>
      <c r="X221" s="170">
        <v>2191.5</v>
      </c>
      <c r="Y221" s="6">
        <v>0.3</v>
      </c>
      <c r="Z221" s="69">
        <f t="shared" si="89"/>
        <v>7889.4</v>
      </c>
      <c r="AA221" s="7">
        <v>0.3</v>
      </c>
      <c r="AB221" s="69">
        <f t="shared" si="90"/>
        <v>7889.4</v>
      </c>
      <c r="AC221" s="7">
        <v>0.3</v>
      </c>
      <c r="AD221" s="69">
        <f t="shared" si="91"/>
        <v>7889.4</v>
      </c>
      <c r="AE221" s="7">
        <v>0.1</v>
      </c>
      <c r="AF221" s="69">
        <f t="shared" si="92"/>
        <v>2629.8</v>
      </c>
      <c r="AG221" s="2"/>
      <c r="AH221" s="17"/>
      <c r="AI221" s="2"/>
      <c r="AJ221" s="2"/>
    </row>
    <row r="222" spans="1:36" ht="12.75">
      <c r="A222" s="6" t="e">
        <f t="shared" si="95"/>
        <v>#REF!</v>
      </c>
      <c r="B222" s="6">
        <f t="shared" si="81"/>
        <v>28</v>
      </c>
      <c r="C222" s="3" t="s">
        <v>151</v>
      </c>
      <c r="D222" s="43">
        <v>1996.8</v>
      </c>
      <c r="E222" s="7">
        <f t="shared" si="78"/>
        <v>2.7899999999999996</v>
      </c>
      <c r="F222" s="7">
        <f t="shared" si="80"/>
        <v>2.7899999999999996</v>
      </c>
      <c r="G222" s="69">
        <f t="shared" si="79"/>
        <v>66852.86399999999</v>
      </c>
      <c r="H222" s="7">
        <v>0.43</v>
      </c>
      <c r="I222" s="69">
        <f t="shared" si="83"/>
        <v>10303.488000000001</v>
      </c>
      <c r="J222" s="7">
        <v>0.3</v>
      </c>
      <c r="K222" s="69">
        <f t="shared" si="94"/>
        <v>7188.48</v>
      </c>
      <c r="L222" s="7">
        <v>0.3</v>
      </c>
      <c r="M222" s="69">
        <f t="shared" si="84"/>
        <v>7188.48</v>
      </c>
      <c r="N222" s="7">
        <v>0.1</v>
      </c>
      <c r="O222" s="69">
        <f t="shared" si="85"/>
        <v>2396.16</v>
      </c>
      <c r="P222" s="7">
        <v>0.2</v>
      </c>
      <c r="Q222" s="69">
        <f t="shared" si="86"/>
        <v>4792.32</v>
      </c>
      <c r="R222" s="7">
        <v>0.36</v>
      </c>
      <c r="S222" s="69">
        <f t="shared" si="87"/>
        <v>8626.176</v>
      </c>
      <c r="T222" s="7">
        <v>0.1</v>
      </c>
      <c r="U222" s="69">
        <f t="shared" si="88"/>
        <v>2396.16</v>
      </c>
      <c r="V222" s="6">
        <f t="shared" si="82"/>
        <v>28</v>
      </c>
      <c r="W222" s="3" t="s">
        <v>151</v>
      </c>
      <c r="X222" s="43">
        <v>1996.8</v>
      </c>
      <c r="Y222" s="6">
        <v>0.3</v>
      </c>
      <c r="Z222" s="69">
        <f t="shared" si="89"/>
        <v>7188.48</v>
      </c>
      <c r="AA222" s="7">
        <v>0.3</v>
      </c>
      <c r="AB222" s="69">
        <f t="shared" si="90"/>
        <v>7188.48</v>
      </c>
      <c r="AC222" s="7">
        <v>0.3</v>
      </c>
      <c r="AD222" s="69">
        <f t="shared" si="91"/>
        <v>7188.48</v>
      </c>
      <c r="AE222" s="7">
        <v>0.1</v>
      </c>
      <c r="AF222" s="69">
        <f t="shared" si="92"/>
        <v>2396.16</v>
      </c>
      <c r="AG222" s="2"/>
      <c r="AH222" s="17"/>
      <c r="AI222" s="2"/>
      <c r="AJ222" s="2"/>
    </row>
    <row r="223" spans="1:36" ht="12.75">
      <c r="A223" s="6" t="e">
        <f t="shared" si="95"/>
        <v>#REF!</v>
      </c>
      <c r="B223" s="6">
        <f t="shared" si="81"/>
        <v>29</v>
      </c>
      <c r="C223" s="3" t="s">
        <v>152</v>
      </c>
      <c r="D223" s="43">
        <v>3092.5</v>
      </c>
      <c r="E223" s="7">
        <f t="shared" si="78"/>
        <v>2.7399999999999998</v>
      </c>
      <c r="F223" s="7">
        <f t="shared" si="80"/>
        <v>2.7399999999999998</v>
      </c>
      <c r="G223" s="69">
        <f t="shared" si="79"/>
        <v>101681.4</v>
      </c>
      <c r="H223" s="7">
        <v>0.41</v>
      </c>
      <c r="I223" s="69">
        <f t="shared" si="83"/>
        <v>15215.099999999999</v>
      </c>
      <c r="J223" s="7">
        <v>0.3</v>
      </c>
      <c r="K223" s="69">
        <f t="shared" si="94"/>
        <v>11133</v>
      </c>
      <c r="L223" s="7">
        <v>0.27</v>
      </c>
      <c r="M223" s="69">
        <f t="shared" si="84"/>
        <v>10019.7</v>
      </c>
      <c r="N223" s="7">
        <v>0.1</v>
      </c>
      <c r="O223" s="69">
        <f t="shared" si="85"/>
        <v>3711</v>
      </c>
      <c r="P223" s="7">
        <v>0.2</v>
      </c>
      <c r="Q223" s="69">
        <f t="shared" si="86"/>
        <v>7422</v>
      </c>
      <c r="R223" s="7">
        <v>0.36</v>
      </c>
      <c r="S223" s="69">
        <f t="shared" si="87"/>
        <v>13359.599999999999</v>
      </c>
      <c r="T223" s="7">
        <v>0.1</v>
      </c>
      <c r="U223" s="69">
        <f t="shared" si="88"/>
        <v>3711</v>
      </c>
      <c r="V223" s="6">
        <f t="shared" si="82"/>
        <v>29</v>
      </c>
      <c r="W223" s="3" t="s">
        <v>152</v>
      </c>
      <c r="X223" s="43">
        <v>3092.5</v>
      </c>
      <c r="Y223" s="6">
        <v>0.3</v>
      </c>
      <c r="Z223" s="69">
        <f t="shared" si="89"/>
        <v>11133</v>
      </c>
      <c r="AA223" s="7">
        <v>0.3</v>
      </c>
      <c r="AB223" s="69">
        <f t="shared" si="90"/>
        <v>11133</v>
      </c>
      <c r="AC223" s="7">
        <v>0.3</v>
      </c>
      <c r="AD223" s="69">
        <f t="shared" si="91"/>
        <v>11133</v>
      </c>
      <c r="AE223" s="7">
        <v>0.1</v>
      </c>
      <c r="AF223" s="69">
        <f t="shared" si="92"/>
        <v>3711</v>
      </c>
      <c r="AG223" s="2"/>
      <c r="AH223" s="17"/>
      <c r="AI223" s="2"/>
      <c r="AJ223" s="2"/>
    </row>
    <row r="224" spans="1:36" ht="12.75">
      <c r="A224" s="6" t="e">
        <f t="shared" si="95"/>
        <v>#REF!</v>
      </c>
      <c r="B224" s="6">
        <f t="shared" si="81"/>
        <v>30</v>
      </c>
      <c r="C224" s="3" t="s">
        <v>153</v>
      </c>
      <c r="D224" s="43">
        <v>1993.3</v>
      </c>
      <c r="E224" s="7">
        <f t="shared" si="78"/>
        <v>3.3399999999999994</v>
      </c>
      <c r="F224" s="7">
        <f t="shared" si="80"/>
        <v>3.34</v>
      </c>
      <c r="G224" s="69">
        <f t="shared" si="79"/>
        <v>79891.46399999999</v>
      </c>
      <c r="H224" s="7">
        <v>0.58</v>
      </c>
      <c r="I224" s="69">
        <f t="shared" si="83"/>
        <v>13873.367999999999</v>
      </c>
      <c r="J224" s="7">
        <v>0.4</v>
      </c>
      <c r="K224" s="69">
        <f t="shared" si="94"/>
        <v>9567.84</v>
      </c>
      <c r="L224" s="7">
        <v>0.4</v>
      </c>
      <c r="M224" s="69">
        <f t="shared" si="84"/>
        <v>9567.84</v>
      </c>
      <c r="N224" s="7">
        <v>0.2</v>
      </c>
      <c r="O224" s="69">
        <f t="shared" si="85"/>
        <v>4783.92</v>
      </c>
      <c r="P224" s="7">
        <v>0.2</v>
      </c>
      <c r="Q224" s="69">
        <f t="shared" si="86"/>
        <v>4783.92</v>
      </c>
      <c r="R224" s="7">
        <v>0.36</v>
      </c>
      <c r="S224" s="69">
        <f t="shared" si="87"/>
        <v>8611.056</v>
      </c>
      <c r="T224" s="7">
        <v>0.1</v>
      </c>
      <c r="U224" s="69">
        <f t="shared" si="88"/>
        <v>2391.96</v>
      </c>
      <c r="V224" s="6">
        <f t="shared" si="82"/>
        <v>30</v>
      </c>
      <c r="W224" s="3" t="s">
        <v>153</v>
      </c>
      <c r="X224" s="43">
        <v>1993.3</v>
      </c>
      <c r="Y224" s="6">
        <v>0.3</v>
      </c>
      <c r="Z224" s="69">
        <f t="shared" si="89"/>
        <v>7175.88</v>
      </c>
      <c r="AA224" s="7">
        <v>0.4</v>
      </c>
      <c r="AB224" s="69">
        <f t="shared" si="90"/>
        <v>9567.84</v>
      </c>
      <c r="AC224" s="7">
        <v>0.3</v>
      </c>
      <c r="AD224" s="69">
        <f t="shared" si="91"/>
        <v>7175.88</v>
      </c>
      <c r="AE224" s="7">
        <v>0.1</v>
      </c>
      <c r="AF224" s="69">
        <f t="shared" si="92"/>
        <v>2391.96</v>
      </c>
      <c r="AG224" s="2"/>
      <c r="AH224" s="17"/>
      <c r="AI224" s="2"/>
      <c r="AJ224" s="2"/>
    </row>
    <row r="225" spans="1:36" ht="12.75">
      <c r="A225" s="6" t="e">
        <f t="shared" si="95"/>
        <v>#REF!</v>
      </c>
      <c r="B225" s="6">
        <f t="shared" si="81"/>
        <v>31</v>
      </c>
      <c r="C225" s="3" t="s">
        <v>154</v>
      </c>
      <c r="D225" s="43">
        <v>5294.7</v>
      </c>
      <c r="E225" s="7">
        <f t="shared" si="78"/>
        <v>3.3399999999999994</v>
      </c>
      <c r="F225" s="7">
        <f t="shared" si="80"/>
        <v>3.34</v>
      </c>
      <c r="G225" s="69">
        <f t="shared" si="79"/>
        <v>212211.576</v>
      </c>
      <c r="H225" s="7">
        <v>0.58</v>
      </c>
      <c r="I225" s="69">
        <f t="shared" si="83"/>
        <v>36851.111999999994</v>
      </c>
      <c r="J225" s="7">
        <v>0.4</v>
      </c>
      <c r="K225" s="69">
        <f t="shared" si="94"/>
        <v>25414.56</v>
      </c>
      <c r="L225" s="7">
        <v>0.4</v>
      </c>
      <c r="M225" s="69">
        <f t="shared" si="84"/>
        <v>25414.56</v>
      </c>
      <c r="N225" s="7">
        <v>0.2</v>
      </c>
      <c r="O225" s="69">
        <f t="shared" si="85"/>
        <v>12707.28</v>
      </c>
      <c r="P225" s="7">
        <v>0.2</v>
      </c>
      <c r="Q225" s="69">
        <f t="shared" si="86"/>
        <v>12707.28</v>
      </c>
      <c r="R225" s="7">
        <v>0.36</v>
      </c>
      <c r="S225" s="69">
        <f t="shared" si="87"/>
        <v>22873.104</v>
      </c>
      <c r="T225" s="7">
        <v>0.1</v>
      </c>
      <c r="U225" s="69">
        <f t="shared" si="88"/>
        <v>6353.64</v>
      </c>
      <c r="V225" s="6">
        <f t="shared" si="82"/>
        <v>31</v>
      </c>
      <c r="W225" s="3" t="s">
        <v>154</v>
      </c>
      <c r="X225" s="43">
        <v>5294.7</v>
      </c>
      <c r="Y225" s="6">
        <v>0.3</v>
      </c>
      <c r="Z225" s="69">
        <f t="shared" si="89"/>
        <v>19060.92</v>
      </c>
      <c r="AA225" s="7">
        <v>0.4</v>
      </c>
      <c r="AB225" s="69">
        <f t="shared" si="90"/>
        <v>25414.56</v>
      </c>
      <c r="AC225" s="7">
        <v>0.3</v>
      </c>
      <c r="AD225" s="69">
        <f t="shared" si="91"/>
        <v>19060.92</v>
      </c>
      <c r="AE225" s="7">
        <v>0.1</v>
      </c>
      <c r="AF225" s="69">
        <f t="shared" si="92"/>
        <v>6353.64</v>
      </c>
      <c r="AG225" s="2"/>
      <c r="AH225" s="17"/>
      <c r="AI225" s="2"/>
      <c r="AJ225" s="2"/>
    </row>
    <row r="226" spans="1:36" ht="12.75">
      <c r="A226" s="6" t="e">
        <f t="shared" si="95"/>
        <v>#REF!</v>
      </c>
      <c r="B226" s="6">
        <f t="shared" si="81"/>
        <v>32</v>
      </c>
      <c r="C226" s="3" t="s">
        <v>188</v>
      </c>
      <c r="D226" s="12">
        <v>1675.2</v>
      </c>
      <c r="E226" s="7">
        <f t="shared" si="78"/>
        <v>3.0100000000000002</v>
      </c>
      <c r="F226" s="7">
        <f t="shared" si="80"/>
        <v>3.01</v>
      </c>
      <c r="G226" s="69">
        <f t="shared" si="79"/>
        <v>60508.224</v>
      </c>
      <c r="H226" s="6">
        <v>0.51</v>
      </c>
      <c r="I226" s="69">
        <f t="shared" si="83"/>
        <v>10252.224000000002</v>
      </c>
      <c r="J226" s="6">
        <v>0.4</v>
      </c>
      <c r="K226" s="69">
        <f t="shared" si="94"/>
        <v>8040.960000000001</v>
      </c>
      <c r="L226" s="6">
        <v>0.4</v>
      </c>
      <c r="M226" s="69">
        <f t="shared" si="84"/>
        <v>8040.960000000001</v>
      </c>
      <c r="N226" s="6">
        <v>0.1</v>
      </c>
      <c r="O226" s="69">
        <f t="shared" si="85"/>
        <v>2010.2400000000002</v>
      </c>
      <c r="P226" s="6">
        <v>0.1</v>
      </c>
      <c r="Q226" s="69">
        <f t="shared" si="86"/>
        <v>2010.2400000000002</v>
      </c>
      <c r="R226" s="7">
        <v>0.36</v>
      </c>
      <c r="S226" s="69">
        <f t="shared" si="87"/>
        <v>7236.864</v>
      </c>
      <c r="T226" s="7">
        <v>0.1</v>
      </c>
      <c r="U226" s="69">
        <f t="shared" si="88"/>
        <v>2010.2400000000002</v>
      </c>
      <c r="V226" s="6">
        <f t="shared" si="82"/>
        <v>32</v>
      </c>
      <c r="W226" s="3" t="s">
        <v>188</v>
      </c>
      <c r="X226" s="12">
        <v>1675.2</v>
      </c>
      <c r="Y226" s="6">
        <v>0.3</v>
      </c>
      <c r="Z226" s="69">
        <f t="shared" si="89"/>
        <v>6030.72</v>
      </c>
      <c r="AA226" s="2">
        <v>0.4</v>
      </c>
      <c r="AB226" s="69">
        <f t="shared" si="90"/>
        <v>8040.960000000001</v>
      </c>
      <c r="AC226" s="7">
        <v>0.24</v>
      </c>
      <c r="AD226" s="69">
        <f t="shared" si="91"/>
        <v>4824.576</v>
      </c>
      <c r="AE226" s="6">
        <v>0.1</v>
      </c>
      <c r="AF226" s="69">
        <f t="shared" si="92"/>
        <v>2010.2400000000002</v>
      </c>
      <c r="AG226" s="2"/>
      <c r="AH226" s="17"/>
      <c r="AI226" s="2"/>
      <c r="AJ226" s="2"/>
    </row>
    <row r="227" spans="1:36" ht="12.75">
      <c r="A227" s="6" t="e">
        <f t="shared" si="95"/>
        <v>#REF!</v>
      </c>
      <c r="B227" s="6">
        <f t="shared" si="81"/>
        <v>33</v>
      </c>
      <c r="C227" s="3" t="s">
        <v>225</v>
      </c>
      <c r="D227" s="12">
        <v>836.7</v>
      </c>
      <c r="E227" s="7">
        <f t="shared" si="78"/>
        <v>2.19</v>
      </c>
      <c r="F227" s="7">
        <f t="shared" si="80"/>
        <v>2.19</v>
      </c>
      <c r="G227" s="69">
        <f t="shared" si="79"/>
        <v>21988.476000000002</v>
      </c>
      <c r="H227" s="6">
        <v>0.5</v>
      </c>
      <c r="I227" s="69">
        <f t="shared" si="83"/>
        <v>5020.200000000001</v>
      </c>
      <c r="J227" s="6">
        <v>0.4</v>
      </c>
      <c r="K227" s="69">
        <f t="shared" si="94"/>
        <v>4016.1600000000008</v>
      </c>
      <c r="L227" s="6">
        <v>0.1</v>
      </c>
      <c r="M227" s="69">
        <f t="shared" si="84"/>
        <v>1004.0400000000002</v>
      </c>
      <c r="N227" s="6">
        <v>0.1</v>
      </c>
      <c r="O227" s="69">
        <f t="shared" si="85"/>
        <v>1004.0400000000002</v>
      </c>
      <c r="P227" s="6">
        <v>0.1</v>
      </c>
      <c r="Q227" s="69">
        <f t="shared" si="86"/>
        <v>1004.0400000000002</v>
      </c>
      <c r="R227" s="7">
        <v>0.36</v>
      </c>
      <c r="S227" s="69">
        <f t="shared" si="87"/>
        <v>3614.544</v>
      </c>
      <c r="T227" s="7">
        <v>0.05</v>
      </c>
      <c r="U227" s="69">
        <f t="shared" si="88"/>
        <v>502.0200000000001</v>
      </c>
      <c r="V227" s="6">
        <f t="shared" si="82"/>
        <v>33</v>
      </c>
      <c r="W227" s="3" t="s">
        <v>225</v>
      </c>
      <c r="X227" s="12">
        <v>836.7</v>
      </c>
      <c r="Y227" s="6">
        <v>0.1</v>
      </c>
      <c r="Z227" s="69">
        <f t="shared" si="89"/>
        <v>1004.0400000000002</v>
      </c>
      <c r="AA227" s="2">
        <v>0.3</v>
      </c>
      <c r="AB227" s="69">
        <f t="shared" si="90"/>
        <v>3012.12</v>
      </c>
      <c r="AC227" s="7">
        <v>0.15</v>
      </c>
      <c r="AD227" s="69">
        <f t="shared" si="91"/>
        <v>1506.06</v>
      </c>
      <c r="AE227" s="6">
        <v>0.03</v>
      </c>
      <c r="AF227" s="69">
        <f t="shared" si="92"/>
        <v>301.212</v>
      </c>
      <c r="AG227" s="2">
        <v>0.85</v>
      </c>
      <c r="AH227" s="17">
        <f>AG227*D227*12</f>
        <v>8534.34</v>
      </c>
      <c r="AI227" s="2"/>
      <c r="AJ227" s="2"/>
    </row>
    <row r="228" spans="1:36" ht="12.75">
      <c r="A228" s="6" t="e">
        <f t="shared" si="95"/>
        <v>#REF!</v>
      </c>
      <c r="B228" s="6">
        <f t="shared" si="81"/>
        <v>34</v>
      </c>
      <c r="C228" s="3" t="s">
        <v>237</v>
      </c>
      <c r="D228" s="12">
        <v>839.4</v>
      </c>
      <c r="E228" s="7">
        <f t="shared" si="78"/>
        <v>2.28</v>
      </c>
      <c r="F228" s="7">
        <f t="shared" si="80"/>
        <v>2.28</v>
      </c>
      <c r="G228" s="69">
        <f t="shared" si="79"/>
        <v>22965.984</v>
      </c>
      <c r="H228" s="6">
        <v>0.5</v>
      </c>
      <c r="I228" s="69">
        <f t="shared" si="83"/>
        <v>5036.4</v>
      </c>
      <c r="J228" s="6">
        <v>0.4</v>
      </c>
      <c r="K228" s="69">
        <f t="shared" si="94"/>
        <v>4029.12</v>
      </c>
      <c r="L228" s="6">
        <v>0.1</v>
      </c>
      <c r="M228" s="69">
        <f t="shared" si="84"/>
        <v>1007.28</v>
      </c>
      <c r="N228" s="6">
        <v>0.1</v>
      </c>
      <c r="O228" s="69">
        <f t="shared" si="85"/>
        <v>1007.28</v>
      </c>
      <c r="P228" s="6">
        <v>0.1</v>
      </c>
      <c r="Q228" s="69">
        <f t="shared" si="86"/>
        <v>1007.28</v>
      </c>
      <c r="R228" s="7">
        <v>0.36</v>
      </c>
      <c r="S228" s="69">
        <f t="shared" si="87"/>
        <v>3626.2079999999996</v>
      </c>
      <c r="T228" s="7">
        <v>0.05</v>
      </c>
      <c r="U228" s="69">
        <f t="shared" si="88"/>
        <v>503.64</v>
      </c>
      <c r="V228" s="6">
        <f t="shared" si="82"/>
        <v>34</v>
      </c>
      <c r="W228" s="3" t="s">
        <v>237</v>
      </c>
      <c r="X228" s="12">
        <v>839.4</v>
      </c>
      <c r="Y228" s="6">
        <v>0.17</v>
      </c>
      <c r="Z228" s="69">
        <f t="shared" si="89"/>
        <v>1712.3760000000002</v>
      </c>
      <c r="AA228" s="2">
        <v>0.3</v>
      </c>
      <c r="AB228" s="69">
        <f t="shared" si="90"/>
        <v>3021.84</v>
      </c>
      <c r="AC228" s="7">
        <v>0.15</v>
      </c>
      <c r="AD228" s="69">
        <f t="shared" si="91"/>
        <v>1510.92</v>
      </c>
      <c r="AE228" s="6">
        <v>0.05</v>
      </c>
      <c r="AF228" s="69">
        <f t="shared" si="92"/>
        <v>503.64</v>
      </c>
      <c r="AG228" s="2">
        <v>0.85</v>
      </c>
      <c r="AH228" s="17">
        <f>AG228*D228*12</f>
        <v>8561.880000000001</v>
      </c>
      <c r="AI228" s="2"/>
      <c r="AJ228" s="2"/>
    </row>
    <row r="229" spans="1:36" ht="12.75">
      <c r="A229" s="6" t="e">
        <f t="shared" si="95"/>
        <v>#REF!</v>
      </c>
      <c r="B229" s="6">
        <f t="shared" si="81"/>
        <v>35</v>
      </c>
      <c r="C229" s="3" t="s">
        <v>189</v>
      </c>
      <c r="D229" s="43">
        <v>1650.9</v>
      </c>
      <c r="E229" s="7">
        <f t="shared" si="78"/>
        <v>3.0100000000000002</v>
      </c>
      <c r="F229" s="7">
        <f t="shared" si="80"/>
        <v>3.0100000000000002</v>
      </c>
      <c r="G229" s="69">
        <f t="shared" si="79"/>
        <v>59630.50800000001</v>
      </c>
      <c r="H229" s="6">
        <v>0.51</v>
      </c>
      <c r="I229" s="69">
        <f t="shared" si="83"/>
        <v>10103.508000000002</v>
      </c>
      <c r="J229" s="6">
        <v>0.4</v>
      </c>
      <c r="K229" s="69">
        <f t="shared" si="94"/>
        <v>7924.3200000000015</v>
      </c>
      <c r="L229" s="6">
        <v>0.4</v>
      </c>
      <c r="M229" s="69">
        <f t="shared" si="84"/>
        <v>7924.3200000000015</v>
      </c>
      <c r="N229" s="6">
        <v>0.1</v>
      </c>
      <c r="O229" s="69">
        <f t="shared" si="85"/>
        <v>1981.0800000000004</v>
      </c>
      <c r="P229" s="6">
        <v>0.1</v>
      </c>
      <c r="Q229" s="69">
        <f t="shared" si="86"/>
        <v>1981.0800000000004</v>
      </c>
      <c r="R229" s="7">
        <v>0.36</v>
      </c>
      <c r="S229" s="69">
        <f t="shared" si="87"/>
        <v>7131.887999999999</v>
      </c>
      <c r="T229" s="7">
        <v>0.1</v>
      </c>
      <c r="U229" s="69">
        <f t="shared" si="88"/>
        <v>1981.0800000000004</v>
      </c>
      <c r="V229" s="6">
        <f t="shared" si="82"/>
        <v>35</v>
      </c>
      <c r="W229" s="3" t="s">
        <v>189</v>
      </c>
      <c r="X229" s="43">
        <v>1650.9</v>
      </c>
      <c r="Y229" s="6">
        <v>0.3</v>
      </c>
      <c r="Z229" s="69">
        <f t="shared" si="89"/>
        <v>5943.24</v>
      </c>
      <c r="AA229" s="2">
        <v>0.4</v>
      </c>
      <c r="AB229" s="69">
        <f t="shared" si="90"/>
        <v>7924.3200000000015</v>
      </c>
      <c r="AC229" s="7">
        <v>0.24</v>
      </c>
      <c r="AD229" s="69">
        <f t="shared" si="91"/>
        <v>4754.592000000001</v>
      </c>
      <c r="AE229" s="6">
        <v>0.1</v>
      </c>
      <c r="AF229" s="69">
        <f t="shared" si="92"/>
        <v>1981.0800000000004</v>
      </c>
      <c r="AG229" s="2"/>
      <c r="AH229" s="17"/>
      <c r="AI229" s="2"/>
      <c r="AJ229" s="2"/>
    </row>
    <row r="230" spans="1:36" ht="12.75">
      <c r="A230" s="6" t="e">
        <f t="shared" si="95"/>
        <v>#REF!</v>
      </c>
      <c r="B230" s="6">
        <f t="shared" si="81"/>
        <v>36</v>
      </c>
      <c r="C230" s="3" t="s">
        <v>155</v>
      </c>
      <c r="D230" s="43">
        <v>2524.9</v>
      </c>
      <c r="E230" s="7">
        <f t="shared" si="78"/>
        <v>2.84</v>
      </c>
      <c r="F230" s="7">
        <f t="shared" si="80"/>
        <v>2.84</v>
      </c>
      <c r="G230" s="69">
        <f t="shared" si="79"/>
        <v>86048.592</v>
      </c>
      <c r="H230" s="7">
        <v>0.61</v>
      </c>
      <c r="I230" s="69">
        <f t="shared" si="83"/>
        <v>18482.268</v>
      </c>
      <c r="J230" s="7">
        <v>0.4</v>
      </c>
      <c r="K230" s="69">
        <f t="shared" si="94"/>
        <v>12119.52</v>
      </c>
      <c r="L230" s="7">
        <v>0.2</v>
      </c>
      <c r="M230" s="69">
        <f t="shared" si="84"/>
        <v>6059.76</v>
      </c>
      <c r="N230" s="7">
        <v>0.1</v>
      </c>
      <c r="O230" s="69">
        <f t="shared" si="85"/>
        <v>3029.88</v>
      </c>
      <c r="P230" s="7">
        <v>0.17</v>
      </c>
      <c r="Q230" s="69">
        <f t="shared" si="86"/>
        <v>5150.796</v>
      </c>
      <c r="R230" s="7">
        <v>0.36</v>
      </c>
      <c r="S230" s="69">
        <f t="shared" si="87"/>
        <v>10907.568000000001</v>
      </c>
      <c r="T230" s="7">
        <v>0.1</v>
      </c>
      <c r="U230" s="69">
        <f t="shared" si="88"/>
        <v>3029.88</v>
      </c>
      <c r="V230" s="6">
        <f t="shared" si="82"/>
        <v>36</v>
      </c>
      <c r="W230" s="3" t="s">
        <v>155</v>
      </c>
      <c r="X230" s="43">
        <v>2524.9</v>
      </c>
      <c r="Y230" s="6">
        <v>0.3</v>
      </c>
      <c r="Z230" s="69">
        <f t="shared" si="89"/>
        <v>9089.64</v>
      </c>
      <c r="AA230" s="7">
        <v>0.3</v>
      </c>
      <c r="AB230" s="69">
        <f t="shared" si="90"/>
        <v>9089.64</v>
      </c>
      <c r="AC230" s="7">
        <v>0.2</v>
      </c>
      <c r="AD230" s="69">
        <f t="shared" si="91"/>
        <v>6059.76</v>
      </c>
      <c r="AE230" s="7">
        <v>0.1</v>
      </c>
      <c r="AF230" s="69">
        <f t="shared" si="92"/>
        <v>3029.88</v>
      </c>
      <c r="AG230" s="2"/>
      <c r="AH230" s="17"/>
      <c r="AI230" s="2"/>
      <c r="AJ230" s="2"/>
    </row>
    <row r="231" spans="1:36" ht="12.75">
      <c r="A231" s="6" t="e">
        <f t="shared" si="95"/>
        <v>#REF!</v>
      </c>
      <c r="B231" s="6">
        <f t="shared" si="81"/>
        <v>37</v>
      </c>
      <c r="C231" s="3" t="s">
        <v>156</v>
      </c>
      <c r="D231" s="43">
        <v>3143.5</v>
      </c>
      <c r="E231" s="7">
        <f t="shared" si="78"/>
        <v>2.7899999999999996</v>
      </c>
      <c r="F231" s="7">
        <f t="shared" si="80"/>
        <v>2.789999999999999</v>
      </c>
      <c r="G231" s="69">
        <f t="shared" si="79"/>
        <v>105244.37999999998</v>
      </c>
      <c r="H231" s="7">
        <v>0.43</v>
      </c>
      <c r="I231" s="69">
        <f t="shared" si="83"/>
        <v>16220.46</v>
      </c>
      <c r="J231" s="7">
        <v>0.3</v>
      </c>
      <c r="K231" s="69">
        <f t="shared" si="94"/>
        <v>11316.599999999999</v>
      </c>
      <c r="L231" s="7">
        <v>0.3</v>
      </c>
      <c r="M231" s="69">
        <f t="shared" si="84"/>
        <v>11316.599999999999</v>
      </c>
      <c r="N231" s="7">
        <v>0.1</v>
      </c>
      <c r="O231" s="69">
        <f t="shared" si="85"/>
        <v>3772.2000000000003</v>
      </c>
      <c r="P231" s="7">
        <v>0.2</v>
      </c>
      <c r="Q231" s="69">
        <f t="shared" si="86"/>
        <v>7544.400000000001</v>
      </c>
      <c r="R231" s="7">
        <v>0.36</v>
      </c>
      <c r="S231" s="69">
        <f t="shared" si="87"/>
        <v>13579.919999999998</v>
      </c>
      <c r="T231" s="7">
        <v>0.1</v>
      </c>
      <c r="U231" s="69">
        <f t="shared" si="88"/>
        <v>3772.2000000000003</v>
      </c>
      <c r="V231" s="6">
        <f t="shared" si="82"/>
        <v>37</v>
      </c>
      <c r="W231" s="3" t="s">
        <v>156</v>
      </c>
      <c r="X231" s="43">
        <v>3143.5</v>
      </c>
      <c r="Y231" s="6">
        <v>0.3</v>
      </c>
      <c r="Z231" s="69">
        <f t="shared" si="89"/>
        <v>11316.599999999999</v>
      </c>
      <c r="AA231" s="7">
        <v>0.3</v>
      </c>
      <c r="AB231" s="69">
        <f t="shared" si="90"/>
        <v>11316.599999999999</v>
      </c>
      <c r="AC231" s="7">
        <v>0.3</v>
      </c>
      <c r="AD231" s="69">
        <f t="shared" si="91"/>
        <v>11316.599999999999</v>
      </c>
      <c r="AE231" s="7">
        <v>0.1</v>
      </c>
      <c r="AF231" s="69">
        <f t="shared" si="92"/>
        <v>3772.2000000000003</v>
      </c>
      <c r="AG231" s="2"/>
      <c r="AH231" s="17"/>
      <c r="AI231" s="2"/>
      <c r="AJ231" s="2"/>
    </row>
    <row r="232" spans="1:36" ht="12.75">
      <c r="A232" s="6" t="e">
        <f t="shared" si="95"/>
        <v>#REF!</v>
      </c>
      <c r="B232" s="6">
        <f t="shared" si="81"/>
        <v>38</v>
      </c>
      <c r="C232" s="3" t="s">
        <v>157</v>
      </c>
      <c r="D232" s="43">
        <v>2051.6</v>
      </c>
      <c r="E232" s="7">
        <f t="shared" si="78"/>
        <v>2.7899999999999996</v>
      </c>
      <c r="F232" s="7">
        <f t="shared" si="80"/>
        <v>2.7899999999999996</v>
      </c>
      <c r="G232" s="69">
        <f t="shared" si="79"/>
        <v>68687.56799999998</v>
      </c>
      <c r="H232" s="7">
        <v>0.43</v>
      </c>
      <c r="I232" s="69">
        <f t="shared" si="83"/>
        <v>10586.256</v>
      </c>
      <c r="J232" s="7">
        <v>0.3</v>
      </c>
      <c r="K232" s="69">
        <f t="shared" si="94"/>
        <v>7385.759999999998</v>
      </c>
      <c r="L232" s="7">
        <v>0.3</v>
      </c>
      <c r="M232" s="69">
        <f t="shared" si="84"/>
        <v>7385.759999999998</v>
      </c>
      <c r="N232" s="7">
        <v>0.1</v>
      </c>
      <c r="O232" s="69">
        <f t="shared" si="85"/>
        <v>2461.92</v>
      </c>
      <c r="P232" s="7">
        <v>0.2</v>
      </c>
      <c r="Q232" s="69">
        <f t="shared" si="86"/>
        <v>4923.84</v>
      </c>
      <c r="R232" s="7">
        <v>0.36</v>
      </c>
      <c r="S232" s="69">
        <f t="shared" si="87"/>
        <v>8862.911999999998</v>
      </c>
      <c r="T232" s="7">
        <v>0.1</v>
      </c>
      <c r="U232" s="69">
        <f t="shared" si="88"/>
        <v>2461.92</v>
      </c>
      <c r="V232" s="6">
        <f t="shared" si="82"/>
        <v>38</v>
      </c>
      <c r="W232" s="3" t="s">
        <v>157</v>
      </c>
      <c r="X232" s="43">
        <v>2051.6</v>
      </c>
      <c r="Y232" s="6">
        <v>0.3</v>
      </c>
      <c r="Z232" s="69">
        <f t="shared" si="89"/>
        <v>7385.759999999998</v>
      </c>
      <c r="AA232" s="7">
        <v>0.3</v>
      </c>
      <c r="AB232" s="69">
        <f t="shared" si="90"/>
        <v>7385.759999999998</v>
      </c>
      <c r="AC232" s="7">
        <v>0.3</v>
      </c>
      <c r="AD232" s="69">
        <f t="shared" si="91"/>
        <v>7385.759999999998</v>
      </c>
      <c r="AE232" s="7">
        <v>0.1</v>
      </c>
      <c r="AF232" s="69">
        <f t="shared" si="92"/>
        <v>2461.92</v>
      </c>
      <c r="AG232" s="2"/>
      <c r="AH232" s="17"/>
      <c r="AI232" s="2"/>
      <c r="AJ232" s="2"/>
    </row>
    <row r="233" spans="1:36" ht="12.75">
      <c r="A233" s="6" t="e">
        <f t="shared" si="95"/>
        <v>#REF!</v>
      </c>
      <c r="B233" s="6">
        <f t="shared" si="81"/>
        <v>39</v>
      </c>
      <c r="C233" s="3" t="s">
        <v>158</v>
      </c>
      <c r="D233" s="43">
        <v>2622.4</v>
      </c>
      <c r="E233" s="7">
        <f t="shared" si="78"/>
        <v>2.5400000000000005</v>
      </c>
      <c r="F233" s="7">
        <f t="shared" si="80"/>
        <v>2.5399999999999996</v>
      </c>
      <c r="G233" s="69">
        <f t="shared" si="79"/>
        <v>79930.752</v>
      </c>
      <c r="H233" s="7">
        <v>0.41</v>
      </c>
      <c r="I233" s="69">
        <f t="shared" si="83"/>
        <v>12902.207999999999</v>
      </c>
      <c r="J233" s="7">
        <v>0.3</v>
      </c>
      <c r="K233" s="69">
        <f t="shared" si="94"/>
        <v>9440.64</v>
      </c>
      <c r="L233" s="7">
        <v>0.3</v>
      </c>
      <c r="M233" s="69">
        <f t="shared" si="84"/>
        <v>9440.64</v>
      </c>
      <c r="N233" s="7">
        <v>0.1</v>
      </c>
      <c r="O233" s="69">
        <f t="shared" si="85"/>
        <v>3146.88</v>
      </c>
      <c r="P233" s="7">
        <v>0.1</v>
      </c>
      <c r="Q233" s="69">
        <f t="shared" si="86"/>
        <v>3146.88</v>
      </c>
      <c r="R233" s="7">
        <v>0.36</v>
      </c>
      <c r="S233" s="69">
        <f t="shared" si="87"/>
        <v>11328.768</v>
      </c>
      <c r="T233" s="7">
        <v>0.1</v>
      </c>
      <c r="U233" s="69">
        <f t="shared" si="88"/>
        <v>3146.88</v>
      </c>
      <c r="V233" s="6">
        <f t="shared" si="82"/>
        <v>39</v>
      </c>
      <c r="W233" s="3" t="s">
        <v>158</v>
      </c>
      <c r="X233" s="43">
        <v>2622.4</v>
      </c>
      <c r="Y233" s="6">
        <v>0.27</v>
      </c>
      <c r="Z233" s="69">
        <f t="shared" si="89"/>
        <v>8496.576000000001</v>
      </c>
      <c r="AA233" s="7">
        <v>0.3</v>
      </c>
      <c r="AB233" s="69">
        <f t="shared" si="90"/>
        <v>9440.64</v>
      </c>
      <c r="AC233" s="7">
        <v>0.2</v>
      </c>
      <c r="AD233" s="69">
        <f t="shared" si="91"/>
        <v>6293.76</v>
      </c>
      <c r="AE233" s="7">
        <v>0.1</v>
      </c>
      <c r="AF233" s="69">
        <f t="shared" si="92"/>
        <v>3146.88</v>
      </c>
      <c r="AG233" s="2"/>
      <c r="AH233" s="17"/>
      <c r="AI233" s="2"/>
      <c r="AJ233" s="2"/>
    </row>
    <row r="234" spans="1:36" ht="12.75">
      <c r="A234" s="6" t="e">
        <f t="shared" si="95"/>
        <v>#REF!</v>
      </c>
      <c r="B234" s="6">
        <f t="shared" si="81"/>
        <v>40</v>
      </c>
      <c r="C234" s="3" t="s">
        <v>159</v>
      </c>
      <c r="D234" s="43">
        <v>2226.8</v>
      </c>
      <c r="E234" s="7">
        <f t="shared" si="78"/>
        <v>2.84</v>
      </c>
      <c r="F234" s="7">
        <f t="shared" si="80"/>
        <v>2.8400000000000003</v>
      </c>
      <c r="G234" s="69">
        <f t="shared" si="79"/>
        <v>75889.34400000001</v>
      </c>
      <c r="H234" s="7">
        <v>0.48</v>
      </c>
      <c r="I234" s="69">
        <f t="shared" si="83"/>
        <v>12826.368</v>
      </c>
      <c r="J234" s="7">
        <v>0.4</v>
      </c>
      <c r="K234" s="69">
        <f t="shared" si="94"/>
        <v>10688.640000000001</v>
      </c>
      <c r="L234" s="7">
        <v>0.3</v>
      </c>
      <c r="M234" s="69">
        <f t="shared" si="84"/>
        <v>8016.480000000001</v>
      </c>
      <c r="N234" s="7">
        <v>0.1</v>
      </c>
      <c r="O234" s="69">
        <f t="shared" si="85"/>
        <v>2672.1600000000003</v>
      </c>
      <c r="P234" s="7">
        <v>0.1</v>
      </c>
      <c r="Q234" s="69">
        <f t="shared" si="86"/>
        <v>2672.1600000000003</v>
      </c>
      <c r="R234" s="7">
        <v>0.36</v>
      </c>
      <c r="S234" s="69">
        <f t="shared" si="87"/>
        <v>9619.776</v>
      </c>
      <c r="T234" s="7">
        <v>0.1</v>
      </c>
      <c r="U234" s="69">
        <f t="shared" si="88"/>
        <v>2672.1600000000003</v>
      </c>
      <c r="V234" s="6">
        <f t="shared" si="82"/>
        <v>40</v>
      </c>
      <c r="W234" s="3" t="s">
        <v>159</v>
      </c>
      <c r="X234" s="43">
        <v>2226.8</v>
      </c>
      <c r="Y234" s="6">
        <v>0.3</v>
      </c>
      <c r="Z234" s="69">
        <f t="shared" si="89"/>
        <v>8016.480000000001</v>
      </c>
      <c r="AA234" s="7">
        <v>0.3</v>
      </c>
      <c r="AB234" s="69">
        <f t="shared" si="90"/>
        <v>8016.480000000001</v>
      </c>
      <c r="AC234" s="7">
        <v>0.3</v>
      </c>
      <c r="AD234" s="69">
        <f t="shared" si="91"/>
        <v>8016.480000000001</v>
      </c>
      <c r="AE234" s="7">
        <v>0.1</v>
      </c>
      <c r="AF234" s="69">
        <f t="shared" si="92"/>
        <v>2672.1600000000003</v>
      </c>
      <c r="AG234" s="2"/>
      <c r="AH234" s="17"/>
      <c r="AI234" s="2"/>
      <c r="AJ234" s="2"/>
    </row>
    <row r="235" spans="1:36" ht="12.75">
      <c r="A235" s="6" t="e">
        <f t="shared" si="95"/>
        <v>#REF!</v>
      </c>
      <c r="B235" s="6">
        <f t="shared" si="81"/>
        <v>41</v>
      </c>
      <c r="C235" s="3" t="s">
        <v>160</v>
      </c>
      <c r="D235" s="43">
        <v>2007.8</v>
      </c>
      <c r="E235" s="7">
        <f t="shared" si="78"/>
        <v>2.84</v>
      </c>
      <c r="F235" s="7">
        <f t="shared" si="80"/>
        <v>2.8400000000000003</v>
      </c>
      <c r="G235" s="69">
        <f t="shared" si="79"/>
        <v>68425.82400000001</v>
      </c>
      <c r="H235" s="7">
        <v>0.48</v>
      </c>
      <c r="I235" s="69">
        <f t="shared" si="83"/>
        <v>11564.928</v>
      </c>
      <c r="J235" s="7">
        <v>0.4</v>
      </c>
      <c r="K235" s="69">
        <f t="shared" si="94"/>
        <v>9637.44</v>
      </c>
      <c r="L235" s="7">
        <v>0.3</v>
      </c>
      <c r="M235" s="69">
        <f t="shared" si="84"/>
        <v>7228.079999999999</v>
      </c>
      <c r="N235" s="7">
        <v>0.1</v>
      </c>
      <c r="O235" s="69">
        <f t="shared" si="85"/>
        <v>2409.36</v>
      </c>
      <c r="P235" s="7">
        <v>0.1</v>
      </c>
      <c r="Q235" s="69">
        <f t="shared" si="86"/>
        <v>2409.36</v>
      </c>
      <c r="R235" s="7">
        <v>0.36</v>
      </c>
      <c r="S235" s="69">
        <f t="shared" si="87"/>
        <v>8673.696</v>
      </c>
      <c r="T235" s="7">
        <v>0.1</v>
      </c>
      <c r="U235" s="69">
        <f t="shared" si="88"/>
        <v>2409.36</v>
      </c>
      <c r="V235" s="6">
        <f t="shared" si="82"/>
        <v>41</v>
      </c>
      <c r="W235" s="3" t="s">
        <v>160</v>
      </c>
      <c r="X235" s="43">
        <v>2007.8</v>
      </c>
      <c r="Y235" s="6">
        <v>0.3</v>
      </c>
      <c r="Z235" s="69">
        <f t="shared" si="89"/>
        <v>7228.079999999999</v>
      </c>
      <c r="AA235" s="7">
        <v>0.3</v>
      </c>
      <c r="AB235" s="69">
        <f t="shared" si="90"/>
        <v>7228.079999999999</v>
      </c>
      <c r="AC235" s="7">
        <v>0.3</v>
      </c>
      <c r="AD235" s="69">
        <f t="shared" si="91"/>
        <v>7228.079999999999</v>
      </c>
      <c r="AE235" s="7">
        <v>0.1</v>
      </c>
      <c r="AF235" s="69">
        <f t="shared" si="92"/>
        <v>2409.36</v>
      </c>
      <c r="AG235" s="2"/>
      <c r="AH235" s="17"/>
      <c r="AI235" s="2"/>
      <c r="AJ235" s="2"/>
    </row>
    <row r="236" spans="1:36" ht="12.75">
      <c r="A236" s="6" t="e">
        <f t="shared" si="95"/>
        <v>#REF!</v>
      </c>
      <c r="B236" s="6">
        <f t="shared" si="81"/>
        <v>42</v>
      </c>
      <c r="C236" s="3" t="s">
        <v>161</v>
      </c>
      <c r="D236" s="43">
        <v>3183.3</v>
      </c>
      <c r="E236" s="7">
        <f t="shared" si="78"/>
        <v>3.01</v>
      </c>
      <c r="F236" s="7">
        <f t="shared" si="80"/>
        <v>3.0100000000000002</v>
      </c>
      <c r="G236" s="69">
        <f t="shared" si="79"/>
        <v>114980.79600000003</v>
      </c>
      <c r="H236" s="7">
        <v>0.51</v>
      </c>
      <c r="I236" s="69">
        <f t="shared" si="83"/>
        <v>19481.796000000002</v>
      </c>
      <c r="J236" s="7">
        <v>0.4</v>
      </c>
      <c r="K236" s="69">
        <f t="shared" si="94"/>
        <v>15279.840000000002</v>
      </c>
      <c r="L236" s="7">
        <v>0.3</v>
      </c>
      <c r="M236" s="69">
        <f t="shared" si="84"/>
        <v>11459.880000000001</v>
      </c>
      <c r="N236" s="7">
        <v>0.14</v>
      </c>
      <c r="O236" s="69">
        <f t="shared" si="85"/>
        <v>5347.944000000001</v>
      </c>
      <c r="P236" s="7">
        <v>0.2</v>
      </c>
      <c r="Q236" s="69">
        <f t="shared" si="86"/>
        <v>7639.920000000001</v>
      </c>
      <c r="R236" s="7">
        <v>0.36</v>
      </c>
      <c r="S236" s="69">
        <f t="shared" si="87"/>
        <v>13751.856</v>
      </c>
      <c r="T236" s="7">
        <v>0.1</v>
      </c>
      <c r="U236" s="69">
        <f t="shared" si="88"/>
        <v>3819.9600000000005</v>
      </c>
      <c r="V236" s="6">
        <f t="shared" si="82"/>
        <v>42</v>
      </c>
      <c r="W236" s="3" t="s">
        <v>161</v>
      </c>
      <c r="X236" s="43">
        <v>3183.3</v>
      </c>
      <c r="Y236" s="6">
        <v>0.3</v>
      </c>
      <c r="Z236" s="69">
        <f t="shared" si="89"/>
        <v>11459.880000000001</v>
      </c>
      <c r="AA236" s="7">
        <v>0.3</v>
      </c>
      <c r="AB236" s="69">
        <f t="shared" si="90"/>
        <v>11459.880000000001</v>
      </c>
      <c r="AC236" s="7">
        <v>0.3</v>
      </c>
      <c r="AD236" s="69">
        <f t="shared" si="91"/>
        <v>11459.880000000001</v>
      </c>
      <c r="AE236" s="7">
        <v>0.1</v>
      </c>
      <c r="AF236" s="69">
        <f t="shared" si="92"/>
        <v>3819.9600000000005</v>
      </c>
      <c r="AG236" s="2"/>
      <c r="AH236" s="17"/>
      <c r="AI236" s="2"/>
      <c r="AJ236" s="2"/>
    </row>
    <row r="237" spans="1:36" ht="12.75">
      <c r="A237" s="6" t="e">
        <f t="shared" si="95"/>
        <v>#REF!</v>
      </c>
      <c r="B237" s="6">
        <f t="shared" si="81"/>
        <v>43</v>
      </c>
      <c r="C237" s="3" t="s">
        <v>162</v>
      </c>
      <c r="D237" s="12">
        <v>2064.7</v>
      </c>
      <c r="E237" s="7">
        <f t="shared" si="78"/>
        <v>2.84</v>
      </c>
      <c r="F237" s="7">
        <f t="shared" si="80"/>
        <v>2.84</v>
      </c>
      <c r="G237" s="69">
        <f t="shared" si="79"/>
        <v>70364.976</v>
      </c>
      <c r="H237" s="7">
        <v>0.48</v>
      </c>
      <c r="I237" s="69">
        <f t="shared" si="83"/>
        <v>11892.671999999999</v>
      </c>
      <c r="J237" s="7">
        <v>0.4</v>
      </c>
      <c r="K237" s="69">
        <f t="shared" si="94"/>
        <v>9910.56</v>
      </c>
      <c r="L237" s="7">
        <v>0.3</v>
      </c>
      <c r="M237" s="69">
        <f t="shared" si="84"/>
        <v>7432.92</v>
      </c>
      <c r="N237" s="7">
        <v>0.1</v>
      </c>
      <c r="O237" s="69">
        <f t="shared" si="85"/>
        <v>2477.64</v>
      </c>
      <c r="P237" s="7">
        <v>0.1</v>
      </c>
      <c r="Q237" s="69">
        <f t="shared" si="86"/>
        <v>2477.64</v>
      </c>
      <c r="R237" s="7">
        <v>0.36</v>
      </c>
      <c r="S237" s="69">
        <f t="shared" si="87"/>
        <v>8919.503999999999</v>
      </c>
      <c r="T237" s="7">
        <v>0.1</v>
      </c>
      <c r="U237" s="69">
        <f t="shared" si="88"/>
        <v>2477.64</v>
      </c>
      <c r="V237" s="6">
        <f t="shared" si="82"/>
        <v>43</v>
      </c>
      <c r="W237" s="3" t="s">
        <v>162</v>
      </c>
      <c r="X237" s="12">
        <v>2064.7</v>
      </c>
      <c r="Y237" s="6">
        <v>0.3</v>
      </c>
      <c r="Z237" s="69">
        <f t="shared" si="89"/>
        <v>7432.92</v>
      </c>
      <c r="AA237" s="7">
        <v>0.3</v>
      </c>
      <c r="AB237" s="69">
        <f t="shared" si="90"/>
        <v>7432.92</v>
      </c>
      <c r="AC237" s="7">
        <v>0.3</v>
      </c>
      <c r="AD237" s="69">
        <f t="shared" si="91"/>
        <v>7432.92</v>
      </c>
      <c r="AE237" s="7">
        <v>0.1</v>
      </c>
      <c r="AF237" s="69">
        <f t="shared" si="92"/>
        <v>2477.64</v>
      </c>
      <c r="AG237" s="2"/>
      <c r="AH237" s="17"/>
      <c r="AI237" s="2"/>
      <c r="AJ237" s="2"/>
    </row>
    <row r="238" spans="1:36" ht="12.75">
      <c r="A238" s="6" t="e">
        <f t="shared" si="95"/>
        <v>#REF!</v>
      </c>
      <c r="B238" s="6">
        <f t="shared" si="81"/>
        <v>44</v>
      </c>
      <c r="C238" s="3" t="s">
        <v>163</v>
      </c>
      <c r="D238" s="43">
        <v>4980</v>
      </c>
      <c r="E238" s="7">
        <f t="shared" si="78"/>
        <v>3.2699999999999996</v>
      </c>
      <c r="F238" s="7">
        <f t="shared" si="80"/>
        <v>3.27</v>
      </c>
      <c r="G238" s="69">
        <f t="shared" si="79"/>
        <v>195415.2</v>
      </c>
      <c r="H238" s="7">
        <v>0.51</v>
      </c>
      <c r="I238" s="69">
        <f t="shared" si="83"/>
        <v>30477.600000000002</v>
      </c>
      <c r="J238" s="7">
        <v>0.32</v>
      </c>
      <c r="K238" s="69">
        <f t="shared" si="94"/>
        <v>19123.2</v>
      </c>
      <c r="L238" s="7">
        <v>0.22</v>
      </c>
      <c r="M238" s="69">
        <f t="shared" si="84"/>
        <v>13147.199999999999</v>
      </c>
      <c r="N238" s="7">
        <v>0.32</v>
      </c>
      <c r="O238" s="69">
        <f t="shared" si="85"/>
        <v>19123.2</v>
      </c>
      <c r="P238" s="7">
        <v>0.32</v>
      </c>
      <c r="Q238" s="69">
        <f t="shared" si="86"/>
        <v>19123.2</v>
      </c>
      <c r="R238" s="7">
        <v>0.36</v>
      </c>
      <c r="S238" s="69">
        <f t="shared" si="87"/>
        <v>21513.6</v>
      </c>
      <c r="T238" s="7">
        <v>0.11</v>
      </c>
      <c r="U238" s="69">
        <f t="shared" si="88"/>
        <v>6573.599999999999</v>
      </c>
      <c r="V238" s="6">
        <f t="shared" si="82"/>
        <v>44</v>
      </c>
      <c r="W238" s="3" t="s">
        <v>163</v>
      </c>
      <c r="X238" s="43">
        <v>4980</v>
      </c>
      <c r="Y238" s="6">
        <v>0.3</v>
      </c>
      <c r="Z238" s="69">
        <f t="shared" si="89"/>
        <v>17928</v>
      </c>
      <c r="AA238" s="7">
        <v>0.4</v>
      </c>
      <c r="AB238" s="69">
        <f t="shared" si="90"/>
        <v>23904</v>
      </c>
      <c r="AC238" s="7">
        <v>0.3</v>
      </c>
      <c r="AD238" s="69">
        <f t="shared" si="91"/>
        <v>17928</v>
      </c>
      <c r="AE238" s="7">
        <v>0.11</v>
      </c>
      <c r="AF238" s="69">
        <f t="shared" si="92"/>
        <v>6573.599999999999</v>
      </c>
      <c r="AG238" s="2"/>
      <c r="AH238" s="17"/>
      <c r="AI238" s="2"/>
      <c r="AJ238" s="2"/>
    </row>
    <row r="239" spans="1:36" ht="12.75">
      <c r="A239" s="6" t="e">
        <f t="shared" si="95"/>
        <v>#REF!</v>
      </c>
      <c r="B239" s="6">
        <f t="shared" si="81"/>
        <v>45</v>
      </c>
      <c r="C239" s="3" t="s">
        <v>164</v>
      </c>
      <c r="D239" s="43">
        <v>6314.7</v>
      </c>
      <c r="E239" s="7">
        <f t="shared" si="78"/>
        <v>3.2099999999999995</v>
      </c>
      <c r="F239" s="7">
        <f t="shared" si="80"/>
        <v>3.2099999999999995</v>
      </c>
      <c r="G239" s="69">
        <f t="shared" si="79"/>
        <v>243242.24399999998</v>
      </c>
      <c r="H239" s="7">
        <v>0.51</v>
      </c>
      <c r="I239" s="69">
        <f t="shared" si="83"/>
        <v>38645.964</v>
      </c>
      <c r="J239" s="7">
        <v>0.3</v>
      </c>
      <c r="K239" s="69">
        <f t="shared" si="94"/>
        <v>22732.92</v>
      </c>
      <c r="L239" s="7">
        <v>0.22</v>
      </c>
      <c r="M239" s="69">
        <f t="shared" si="84"/>
        <v>16670.807999999997</v>
      </c>
      <c r="N239" s="7">
        <v>0.3</v>
      </c>
      <c r="O239" s="69">
        <f t="shared" si="85"/>
        <v>22732.92</v>
      </c>
      <c r="P239" s="7">
        <v>0.3</v>
      </c>
      <c r="Q239" s="69">
        <f t="shared" si="86"/>
        <v>22732.92</v>
      </c>
      <c r="R239" s="7">
        <v>0.36</v>
      </c>
      <c r="S239" s="69">
        <f t="shared" si="87"/>
        <v>27279.504</v>
      </c>
      <c r="T239" s="7">
        <v>0.11</v>
      </c>
      <c r="U239" s="69">
        <f t="shared" si="88"/>
        <v>8335.403999999999</v>
      </c>
      <c r="V239" s="6">
        <f t="shared" si="82"/>
        <v>45</v>
      </c>
      <c r="W239" s="3" t="s">
        <v>164</v>
      </c>
      <c r="X239" s="43">
        <v>6314.7</v>
      </c>
      <c r="Y239" s="6">
        <v>0.3</v>
      </c>
      <c r="Z239" s="69">
        <f t="shared" si="89"/>
        <v>22732.92</v>
      </c>
      <c r="AA239" s="7">
        <v>0.4</v>
      </c>
      <c r="AB239" s="69">
        <f t="shared" si="90"/>
        <v>30310.56</v>
      </c>
      <c r="AC239" s="7">
        <v>0.3</v>
      </c>
      <c r="AD239" s="69">
        <f t="shared" si="91"/>
        <v>22732.92</v>
      </c>
      <c r="AE239" s="7">
        <v>0.11</v>
      </c>
      <c r="AF239" s="69">
        <f t="shared" si="92"/>
        <v>8335.403999999999</v>
      </c>
      <c r="AG239" s="2"/>
      <c r="AH239" s="17"/>
      <c r="AI239" s="2"/>
      <c r="AJ239" s="2"/>
    </row>
    <row r="240" spans="1:36" ht="12.75">
      <c r="A240" s="36" t="e">
        <f t="shared" si="95"/>
        <v>#REF!</v>
      </c>
      <c r="B240" s="6">
        <f t="shared" si="81"/>
        <v>46</v>
      </c>
      <c r="C240" s="3" t="s">
        <v>165</v>
      </c>
      <c r="D240" s="89">
        <v>4805.1</v>
      </c>
      <c r="E240" s="7">
        <f t="shared" si="78"/>
        <v>2.8099999999999996</v>
      </c>
      <c r="F240" s="7">
        <f t="shared" si="80"/>
        <v>2.81</v>
      </c>
      <c r="G240" s="69">
        <f t="shared" si="79"/>
        <v>162027.972</v>
      </c>
      <c r="H240" s="7">
        <v>0.45</v>
      </c>
      <c r="I240" s="69">
        <f t="shared" si="83"/>
        <v>25947.54</v>
      </c>
      <c r="J240" s="7">
        <v>0.2</v>
      </c>
      <c r="K240" s="69">
        <f t="shared" si="94"/>
        <v>11532.240000000002</v>
      </c>
      <c r="L240" s="7">
        <v>0.2</v>
      </c>
      <c r="M240" s="69">
        <f t="shared" si="84"/>
        <v>11532.240000000002</v>
      </c>
      <c r="N240" s="7">
        <v>0.2</v>
      </c>
      <c r="O240" s="69">
        <f t="shared" si="85"/>
        <v>11532.240000000002</v>
      </c>
      <c r="P240" s="7">
        <v>0.2</v>
      </c>
      <c r="Q240" s="69">
        <f t="shared" si="86"/>
        <v>11532.240000000002</v>
      </c>
      <c r="R240" s="7">
        <v>0.36</v>
      </c>
      <c r="S240" s="69">
        <f t="shared" si="87"/>
        <v>20758.032</v>
      </c>
      <c r="T240" s="7">
        <v>0.1</v>
      </c>
      <c r="U240" s="69">
        <f t="shared" si="88"/>
        <v>5766.120000000001</v>
      </c>
      <c r="V240" s="6">
        <f t="shared" si="82"/>
        <v>46</v>
      </c>
      <c r="W240" s="3" t="s">
        <v>165</v>
      </c>
      <c r="X240" s="89">
        <v>4805.1</v>
      </c>
      <c r="Y240" s="6">
        <v>0.3</v>
      </c>
      <c r="Z240" s="69">
        <f t="shared" si="89"/>
        <v>17298.36</v>
      </c>
      <c r="AA240" s="7">
        <v>0.4</v>
      </c>
      <c r="AB240" s="69">
        <f t="shared" si="90"/>
        <v>23064.480000000003</v>
      </c>
      <c r="AC240" s="7">
        <v>0.3</v>
      </c>
      <c r="AD240" s="69">
        <f t="shared" si="91"/>
        <v>17298.36</v>
      </c>
      <c r="AE240" s="7">
        <v>0.1</v>
      </c>
      <c r="AF240" s="69">
        <f t="shared" si="92"/>
        <v>5766.120000000001</v>
      </c>
      <c r="AG240" s="2"/>
      <c r="AH240" s="17"/>
      <c r="AI240" s="2"/>
      <c r="AJ240" s="2"/>
    </row>
    <row r="241" spans="1:36" ht="12.75">
      <c r="A241" s="6" t="e">
        <f t="shared" si="95"/>
        <v>#REF!</v>
      </c>
      <c r="B241" s="6">
        <f t="shared" si="81"/>
        <v>47</v>
      </c>
      <c r="C241" s="3" t="s">
        <v>166</v>
      </c>
      <c r="D241" s="43">
        <v>2771.1</v>
      </c>
      <c r="E241" s="7">
        <f>H241+J241+L241+N241+P241+R241+T241+Y241+AA241+AC241+AE241</f>
        <v>3.4300000000000006</v>
      </c>
      <c r="F241" s="7">
        <f t="shared" si="80"/>
        <v>3.4299999999999997</v>
      </c>
      <c r="G241" s="69">
        <f t="shared" si="79"/>
        <v>114058.476</v>
      </c>
      <c r="H241" s="7">
        <v>0.6</v>
      </c>
      <c r="I241" s="69">
        <f t="shared" si="83"/>
        <v>19951.92</v>
      </c>
      <c r="J241" s="7">
        <v>0.4</v>
      </c>
      <c r="K241" s="69">
        <f t="shared" si="94"/>
        <v>13301.28</v>
      </c>
      <c r="L241" s="7">
        <v>0.3</v>
      </c>
      <c r="M241" s="69">
        <f t="shared" si="84"/>
        <v>9975.96</v>
      </c>
      <c r="N241" s="7">
        <v>0.2</v>
      </c>
      <c r="O241" s="69">
        <f t="shared" si="85"/>
        <v>6650.64</v>
      </c>
      <c r="P241" s="7">
        <v>0.3</v>
      </c>
      <c r="Q241" s="69">
        <f t="shared" si="86"/>
        <v>9975.96</v>
      </c>
      <c r="R241" s="7">
        <v>0.36</v>
      </c>
      <c r="S241" s="69">
        <f>R241*D241*12</f>
        <v>11971.151999999998</v>
      </c>
      <c r="T241" s="7">
        <v>0.2</v>
      </c>
      <c r="U241" s="69">
        <f t="shared" si="88"/>
        <v>6650.64</v>
      </c>
      <c r="V241" s="6">
        <f t="shared" si="82"/>
        <v>47</v>
      </c>
      <c r="W241" s="3" t="s">
        <v>166</v>
      </c>
      <c r="X241" s="43">
        <v>2771.1</v>
      </c>
      <c r="Y241" s="6">
        <v>0.27</v>
      </c>
      <c r="Z241" s="69">
        <f t="shared" si="89"/>
        <v>8978.364</v>
      </c>
      <c r="AA241" s="7">
        <v>0.4</v>
      </c>
      <c r="AB241" s="69">
        <f t="shared" si="90"/>
        <v>13301.28</v>
      </c>
      <c r="AC241" s="7">
        <v>0.2</v>
      </c>
      <c r="AD241" s="69">
        <f t="shared" si="91"/>
        <v>6650.64</v>
      </c>
      <c r="AE241" s="7">
        <v>0.2</v>
      </c>
      <c r="AF241" s="69">
        <f t="shared" si="92"/>
        <v>6650.64</v>
      </c>
      <c r="AG241" s="2"/>
      <c r="AH241" s="17"/>
      <c r="AI241" s="2"/>
      <c r="AJ241" s="2"/>
    </row>
    <row r="242" spans="2:34" ht="12.75">
      <c r="B242" s="6">
        <f>B241+1</f>
        <v>48</v>
      </c>
      <c r="C242" s="3" t="s">
        <v>302</v>
      </c>
      <c r="D242" s="12">
        <v>1672.7</v>
      </c>
      <c r="E242" s="7">
        <f>H242+J242+L242+N242+P242+R242+T242+Y242+AA242+AC242+AE242</f>
        <v>5.84</v>
      </c>
      <c r="F242" s="7">
        <f>G242/D242/12</f>
        <v>5.84</v>
      </c>
      <c r="G242" s="69">
        <f>I242+K242+M242+O242+Q242+S242+U242+Z242+AD242+AF242+AB242</f>
        <v>117222.816</v>
      </c>
      <c r="H242" s="7">
        <v>0.6</v>
      </c>
      <c r="I242" s="69">
        <f>H242*D242*12</f>
        <v>12043.44</v>
      </c>
      <c r="J242" s="7">
        <v>0.5</v>
      </c>
      <c r="K242" s="69">
        <f>J242*D242*12</f>
        <v>10036.2</v>
      </c>
      <c r="L242" s="7">
        <v>0.5</v>
      </c>
      <c r="M242" s="69">
        <f>D242*L242*12</f>
        <v>10036.2</v>
      </c>
      <c r="N242" s="7">
        <v>0.2</v>
      </c>
      <c r="O242" s="69">
        <f>N242*D242*12</f>
        <v>4014.4800000000005</v>
      </c>
      <c r="P242" s="7">
        <v>0.6</v>
      </c>
      <c r="Q242" s="69">
        <f>P242*D242*12</f>
        <v>12043.44</v>
      </c>
      <c r="R242" s="7">
        <v>0.36</v>
      </c>
      <c r="S242" s="69">
        <f>R242*D242*12</f>
        <v>7226.064</v>
      </c>
      <c r="T242" s="7">
        <v>0.19</v>
      </c>
      <c r="U242" s="69">
        <f>T242*D242*12</f>
        <v>3813.756</v>
      </c>
      <c r="V242" s="6">
        <f t="shared" si="82"/>
        <v>48</v>
      </c>
      <c r="W242" s="3" t="s">
        <v>302</v>
      </c>
      <c r="X242" s="12">
        <v>1672.7</v>
      </c>
      <c r="Y242" s="6">
        <v>1.78</v>
      </c>
      <c r="Z242" s="69">
        <f>Y242*D242*12</f>
        <v>35728.872</v>
      </c>
      <c r="AA242" s="7">
        <v>0.46</v>
      </c>
      <c r="AB242" s="69">
        <f>AA242*D242*12</f>
        <v>9233.304</v>
      </c>
      <c r="AC242" s="7">
        <v>0.15</v>
      </c>
      <c r="AD242" s="69">
        <f>AC242*D242*12</f>
        <v>3010.86</v>
      </c>
      <c r="AE242" s="7">
        <v>0.5</v>
      </c>
      <c r="AF242" s="69">
        <f>AE242*D242*12</f>
        <v>10036.2</v>
      </c>
      <c r="AG242" s="2"/>
      <c r="AH242" s="17"/>
    </row>
    <row r="243" spans="2:34" ht="12.75">
      <c r="B243" s="9"/>
      <c r="C243" s="10"/>
      <c r="D243" s="11"/>
      <c r="E243" s="35"/>
      <c r="F243" s="35"/>
      <c r="G243" s="71"/>
      <c r="H243" s="35"/>
      <c r="I243" s="71"/>
      <c r="J243" s="35"/>
      <c r="K243" s="71"/>
      <c r="L243" s="35"/>
      <c r="M243" s="71"/>
      <c r="N243" s="35"/>
      <c r="O243" s="71"/>
      <c r="P243" s="35"/>
      <c r="Q243" s="71"/>
      <c r="R243" s="35"/>
      <c r="S243" s="71"/>
      <c r="T243" s="35"/>
      <c r="U243" s="71"/>
      <c r="V243" s="71"/>
      <c r="W243" s="71"/>
      <c r="X243" s="71"/>
      <c r="Y243" s="9"/>
      <c r="Z243" s="71"/>
      <c r="AA243" s="35"/>
      <c r="AB243" s="71"/>
      <c r="AC243" s="35"/>
      <c r="AD243" s="71"/>
      <c r="AE243" s="35"/>
      <c r="AF243" s="71"/>
      <c r="AG243" s="191"/>
      <c r="AH243" s="18"/>
    </row>
    <row r="244" spans="2:34" ht="12.75">
      <c r="B244" s="9"/>
      <c r="C244" s="8"/>
      <c r="D244" s="10"/>
      <c r="E244" s="35"/>
      <c r="F244" s="35"/>
      <c r="G244" s="71"/>
      <c r="H244" s="35"/>
      <c r="I244" s="71"/>
      <c r="J244" s="35"/>
      <c r="K244" s="71"/>
      <c r="L244" s="35"/>
      <c r="M244" s="71"/>
      <c r="N244" s="8"/>
      <c r="O244" s="10"/>
      <c r="P244" s="35"/>
      <c r="Q244" s="35"/>
      <c r="R244" s="35"/>
      <c r="S244" s="35"/>
      <c r="T244" s="71"/>
      <c r="U244" s="8"/>
      <c r="V244" s="8"/>
      <c r="W244" s="8"/>
      <c r="X244" s="10"/>
      <c r="Y244" s="71"/>
      <c r="Z244" s="8"/>
      <c r="AA244" s="35"/>
      <c r="AB244" s="35"/>
      <c r="AC244" s="8"/>
      <c r="AD244" s="8"/>
      <c r="AE244" s="10"/>
      <c r="AF244" s="8"/>
      <c r="AG244" s="8"/>
      <c r="AH244" s="106"/>
    </row>
    <row r="245" spans="2:34" ht="12.75">
      <c r="B245" s="9"/>
      <c r="C245" s="10"/>
      <c r="D245" s="11"/>
      <c r="E245" s="35"/>
      <c r="F245" s="35"/>
      <c r="G245" s="71"/>
      <c r="H245" s="35"/>
      <c r="I245" s="71"/>
      <c r="J245" s="35"/>
      <c r="K245" s="71"/>
      <c r="L245" s="35"/>
      <c r="M245" s="71"/>
      <c r="N245" s="35"/>
      <c r="O245" s="71"/>
      <c r="P245" s="35"/>
      <c r="Q245" s="71"/>
      <c r="R245" s="35"/>
      <c r="S245" s="71"/>
      <c r="T245" s="35"/>
      <c r="U245" s="71"/>
      <c r="V245" s="71"/>
      <c r="W245" s="71"/>
      <c r="X245" s="71"/>
      <c r="Y245" s="9"/>
      <c r="Z245" s="71"/>
      <c r="AA245" s="35"/>
      <c r="AB245" s="71"/>
      <c r="AC245" s="35"/>
      <c r="AD245" s="71"/>
      <c r="AE245" s="35"/>
      <c r="AF245" s="71"/>
      <c r="AG245" s="191"/>
      <c r="AH245" s="71"/>
    </row>
    <row r="246" ht="12.75">
      <c r="AH246" s="71"/>
    </row>
    <row r="247" ht="12.75">
      <c r="C247" s="23"/>
    </row>
  </sheetData>
  <sheetProtection/>
  <mergeCells count="26">
    <mergeCell ref="AG4:AH4"/>
    <mergeCell ref="J4:K4"/>
    <mergeCell ref="V3:V5"/>
    <mergeCell ref="W3:W5"/>
    <mergeCell ref="X3:X5"/>
    <mergeCell ref="N4:O4"/>
    <mergeCell ref="B3:B5"/>
    <mergeCell ref="C3:C5"/>
    <mergeCell ref="D3:D5"/>
    <mergeCell ref="AE4:AF4"/>
    <mergeCell ref="L4:M4"/>
    <mergeCell ref="H4:I4"/>
    <mergeCell ref="F3:G3"/>
    <mergeCell ref="E3:E5"/>
    <mergeCell ref="F4:G4"/>
    <mergeCell ref="AC4:AD4"/>
    <mergeCell ref="C1:U1"/>
    <mergeCell ref="AI4:AJ4"/>
    <mergeCell ref="T4:U4"/>
    <mergeCell ref="H3:U3"/>
    <mergeCell ref="Y3:AH3"/>
    <mergeCell ref="AA4:AB4"/>
    <mergeCell ref="P4:Q4"/>
    <mergeCell ref="R4:S4"/>
    <mergeCell ref="W1:AH1"/>
    <mergeCell ref="Y4:Z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329"/>
  <sheetViews>
    <sheetView zoomScalePageLayoutView="0" workbookViewId="0" topLeftCell="A1">
      <selection activeCell="B4" sqref="B4:B6"/>
    </sheetView>
  </sheetViews>
  <sheetFormatPr defaultColWidth="9.140625" defaultRowHeight="12.75"/>
  <cols>
    <col min="1" max="1" width="4.00390625" style="27" customWidth="1"/>
    <col min="2" max="2" width="17.140625" style="27" customWidth="1"/>
    <col min="3" max="3" width="14.57421875" style="27" customWidth="1"/>
    <col min="4" max="4" width="6.7109375" style="27" customWidth="1"/>
    <col min="5" max="5" width="9.140625" style="27" hidden="1" customWidth="1"/>
    <col min="6" max="6" width="7.8515625" style="28" customWidth="1"/>
    <col min="7" max="7" width="8.140625" style="28" customWidth="1"/>
    <col min="8" max="8" width="9.421875" style="28" hidden="1" customWidth="1"/>
    <col min="9" max="9" width="7.8515625" style="28" customWidth="1"/>
    <col min="10" max="10" width="9.57421875" style="28" hidden="1" customWidth="1"/>
    <col min="11" max="11" width="7.7109375" style="28" customWidth="1"/>
    <col min="12" max="12" width="0.13671875" style="28" customWidth="1"/>
    <col min="13" max="13" width="9.28125" style="28" customWidth="1"/>
    <col min="14" max="14" width="10.00390625" style="28" hidden="1" customWidth="1"/>
    <col min="15" max="15" width="7.28125" style="28" customWidth="1"/>
    <col min="16" max="16" width="8.28125" style="28" hidden="1" customWidth="1"/>
    <col min="17" max="17" width="4.7109375" style="28" customWidth="1"/>
    <col min="18" max="18" width="0.13671875" style="28" customWidth="1"/>
    <col min="19" max="19" width="4.8515625" style="28" customWidth="1"/>
    <col min="20" max="20" width="1.7109375" style="28" hidden="1" customWidth="1"/>
    <col min="21" max="21" width="4.57421875" style="28" customWidth="1"/>
    <col min="22" max="22" width="0.13671875" style="28" customWidth="1"/>
    <col min="23" max="23" width="5.140625" style="28" customWidth="1"/>
    <col min="24" max="24" width="18.00390625" style="28" customWidth="1"/>
    <col min="25" max="25" width="12.421875" style="28" customWidth="1"/>
    <col min="26" max="26" width="6.140625" style="28" customWidth="1"/>
    <col min="27" max="27" width="9.28125" style="28" customWidth="1"/>
    <col min="28" max="28" width="0.13671875" style="28" customWidth="1"/>
    <col min="29" max="29" width="9.00390625" style="28" customWidth="1"/>
    <col min="30" max="30" width="11.7109375" style="28" hidden="1" customWidth="1"/>
    <col min="31" max="31" width="9.140625" style="28" customWidth="1"/>
    <col min="32" max="32" width="10.00390625" style="28" hidden="1" customWidth="1"/>
    <col min="33" max="33" width="9.28125" style="28" customWidth="1"/>
    <col min="34" max="34" width="3.8515625" style="28" hidden="1" customWidth="1"/>
    <col min="35" max="35" width="10.140625" style="28" customWidth="1"/>
    <col min="36" max="36" width="0.13671875" style="28" customWidth="1"/>
    <col min="37" max="37" width="10.8515625" style="28" customWidth="1"/>
    <col min="38" max="38" width="9.421875" style="28" customWidth="1"/>
    <col min="39" max="39" width="3.8515625" style="28" hidden="1" customWidth="1"/>
    <col min="40" max="40" width="9.7109375" style="28" customWidth="1"/>
    <col min="41" max="41" width="8.00390625" style="28" customWidth="1"/>
    <col min="42" max="42" width="9.140625" style="28" customWidth="1"/>
    <col min="43" max="43" width="9.28125" style="28" hidden="1" customWidth="1"/>
    <col min="44" max="44" width="9.28125" style="28" bestFit="1" customWidth="1"/>
    <col min="45" max="45" width="10.00390625" style="28" hidden="1" customWidth="1"/>
    <col min="46" max="46" width="9.140625" style="28" customWidth="1"/>
    <col min="47" max="47" width="9.28125" style="8" hidden="1" customWidth="1"/>
    <col min="48" max="48" width="12.28125" style="8" customWidth="1"/>
    <col min="49" max="16384" width="9.140625" style="8" customWidth="1"/>
  </cols>
  <sheetData>
    <row r="1" ht="12.75"/>
    <row r="2" spans="1:46" ht="33" customHeight="1">
      <c r="A2" s="22"/>
      <c r="B2" s="126" t="s">
        <v>306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3"/>
      <c r="X2" s="126" t="s">
        <v>306</v>
      </c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05"/>
      <c r="AL2" s="105"/>
      <c r="AM2" s="105"/>
      <c r="AN2" s="105"/>
      <c r="AO2" s="105"/>
      <c r="AP2" s="105"/>
      <c r="AQ2" s="105"/>
      <c r="AR2" s="105"/>
      <c r="AS2" s="105"/>
      <c r="AT2" s="8"/>
    </row>
    <row r="3" ht="12.75"/>
    <row r="4" spans="1:48" ht="24">
      <c r="A4" s="133"/>
      <c r="B4" s="136" t="s">
        <v>257</v>
      </c>
      <c r="C4" s="51" t="s">
        <v>192</v>
      </c>
      <c r="D4" s="1"/>
      <c r="E4" s="1"/>
      <c r="F4" s="140" t="s">
        <v>280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94"/>
      <c r="W4" s="133"/>
      <c r="X4" s="136" t="s">
        <v>257</v>
      </c>
      <c r="Y4" s="141" t="s">
        <v>192</v>
      </c>
      <c r="Z4" s="140" t="s">
        <v>278</v>
      </c>
      <c r="AA4" s="124"/>
      <c r="AB4" s="124"/>
      <c r="AC4" s="124"/>
      <c r="AD4" s="124"/>
      <c r="AE4" s="124"/>
      <c r="AF4" s="124"/>
      <c r="AG4" s="124"/>
      <c r="AH4" s="124"/>
      <c r="AI4" s="124"/>
      <c r="AJ4" s="194"/>
      <c r="AK4" s="140" t="s">
        <v>279</v>
      </c>
      <c r="AL4" s="131"/>
      <c r="AM4" s="131"/>
      <c r="AN4" s="131"/>
      <c r="AO4" s="131"/>
      <c r="AP4" s="131"/>
      <c r="AQ4" s="131"/>
      <c r="AR4" s="131"/>
      <c r="AS4" s="131"/>
      <c r="AT4" s="131"/>
      <c r="AU4" s="194"/>
      <c r="AV4" s="16"/>
    </row>
    <row r="5" spans="1:48" ht="24" customHeight="1">
      <c r="A5" s="134"/>
      <c r="B5" s="136"/>
      <c r="C5" s="19"/>
      <c r="D5" s="6"/>
      <c r="E5" s="6"/>
      <c r="F5" s="50" t="s">
        <v>281</v>
      </c>
      <c r="G5" s="129" t="s">
        <v>282</v>
      </c>
      <c r="H5" s="123"/>
      <c r="I5" s="129" t="s">
        <v>283</v>
      </c>
      <c r="J5" s="123"/>
      <c r="K5" s="129" t="s">
        <v>284</v>
      </c>
      <c r="L5" s="123"/>
      <c r="M5" s="129" t="s">
        <v>285</v>
      </c>
      <c r="N5" s="132"/>
      <c r="O5" s="140" t="s">
        <v>286</v>
      </c>
      <c r="P5" s="123"/>
      <c r="Q5" s="140" t="s">
        <v>287</v>
      </c>
      <c r="R5" s="123"/>
      <c r="S5" s="129" t="s">
        <v>288</v>
      </c>
      <c r="T5" s="132"/>
      <c r="U5" s="129" t="s">
        <v>268</v>
      </c>
      <c r="V5" s="132"/>
      <c r="W5" s="134"/>
      <c r="X5" s="136"/>
      <c r="Y5" s="195"/>
      <c r="Z5" s="24" t="s">
        <v>281</v>
      </c>
      <c r="AA5" s="140" t="s">
        <v>289</v>
      </c>
      <c r="AB5" s="123"/>
      <c r="AC5" s="140" t="s">
        <v>290</v>
      </c>
      <c r="AD5" s="123"/>
      <c r="AE5" s="140" t="s">
        <v>291</v>
      </c>
      <c r="AF5" s="123"/>
      <c r="AG5" s="129" t="s">
        <v>292</v>
      </c>
      <c r="AH5" s="132"/>
      <c r="AI5" s="129" t="s">
        <v>268</v>
      </c>
      <c r="AJ5" s="132"/>
      <c r="AK5" s="24" t="s">
        <v>281</v>
      </c>
      <c r="AL5" s="140" t="s">
        <v>293</v>
      </c>
      <c r="AM5" s="123"/>
      <c r="AN5" s="140" t="s">
        <v>294</v>
      </c>
      <c r="AO5" s="123"/>
      <c r="AP5" s="140" t="s">
        <v>295</v>
      </c>
      <c r="AQ5" s="123"/>
      <c r="AR5" s="140" t="s">
        <v>296</v>
      </c>
      <c r="AS5" s="123"/>
      <c r="AT5" s="129" t="s">
        <v>297</v>
      </c>
      <c r="AU5" s="194"/>
      <c r="AV5" s="113" t="s">
        <v>308</v>
      </c>
    </row>
    <row r="6" spans="1:48" ht="216">
      <c r="A6" s="135"/>
      <c r="B6" s="136"/>
      <c r="C6" s="20"/>
      <c r="D6" s="6"/>
      <c r="E6" s="52"/>
      <c r="F6" s="50"/>
      <c r="G6" s="20" t="s">
        <v>0</v>
      </c>
      <c r="H6" s="20" t="s">
        <v>1</v>
      </c>
      <c r="I6" s="20" t="s">
        <v>0</v>
      </c>
      <c r="J6" s="20" t="s">
        <v>1</v>
      </c>
      <c r="K6" s="20" t="s">
        <v>0</v>
      </c>
      <c r="L6" s="20" t="s">
        <v>1</v>
      </c>
      <c r="M6" s="20" t="s">
        <v>0</v>
      </c>
      <c r="N6" s="20" t="s">
        <v>1</v>
      </c>
      <c r="O6" s="20" t="s">
        <v>0</v>
      </c>
      <c r="P6" s="20" t="s">
        <v>1</v>
      </c>
      <c r="Q6" s="20" t="s">
        <v>0</v>
      </c>
      <c r="R6" s="20" t="s">
        <v>1</v>
      </c>
      <c r="S6" s="20" t="s">
        <v>0</v>
      </c>
      <c r="T6" s="20" t="s">
        <v>1</v>
      </c>
      <c r="U6" s="20" t="s">
        <v>0</v>
      </c>
      <c r="V6" s="20" t="s">
        <v>1</v>
      </c>
      <c r="W6" s="135"/>
      <c r="X6" s="136"/>
      <c r="Y6" s="196"/>
      <c r="Z6" s="24"/>
      <c r="AA6" s="20" t="s">
        <v>0</v>
      </c>
      <c r="AB6" s="20" t="s">
        <v>1</v>
      </c>
      <c r="AC6" s="20" t="s">
        <v>0</v>
      </c>
      <c r="AD6" s="20" t="s">
        <v>1</v>
      </c>
      <c r="AE6" s="20" t="s">
        <v>0</v>
      </c>
      <c r="AF6" s="20" t="s">
        <v>1</v>
      </c>
      <c r="AG6" s="20" t="s">
        <v>0</v>
      </c>
      <c r="AH6" s="20" t="s">
        <v>1</v>
      </c>
      <c r="AI6" s="20" t="s">
        <v>0</v>
      </c>
      <c r="AJ6" s="20" t="s">
        <v>1</v>
      </c>
      <c r="AK6" s="24"/>
      <c r="AL6" s="20" t="s">
        <v>0</v>
      </c>
      <c r="AM6" s="20" t="s">
        <v>1</v>
      </c>
      <c r="AN6" s="20" t="s">
        <v>0</v>
      </c>
      <c r="AO6" s="20" t="s">
        <v>1</v>
      </c>
      <c r="AP6" s="20" t="s">
        <v>0</v>
      </c>
      <c r="AQ6" s="20" t="s">
        <v>1</v>
      </c>
      <c r="AR6" s="20" t="s">
        <v>0</v>
      </c>
      <c r="AS6" s="20" t="s">
        <v>1</v>
      </c>
      <c r="AT6" s="20" t="s">
        <v>0</v>
      </c>
      <c r="AU6" s="20" t="s">
        <v>1</v>
      </c>
      <c r="AV6" s="16"/>
    </row>
    <row r="7" spans="1:48" ht="12.75">
      <c r="A7" s="107"/>
      <c r="B7" s="107"/>
      <c r="C7" s="55">
        <f>C8+C58+C145+C192</f>
        <v>646842.04</v>
      </c>
      <c r="D7" s="54">
        <f>F7+Z7+AK7</f>
        <v>5.72856077809455</v>
      </c>
      <c r="E7" s="54">
        <f>(H7+J7+L7+N7+P7+R7+T7+V7+AB7+AD7+AF7+AH7+AJ7+AM7+AO7+AQ7+AS7+AU7)/C7/12</f>
        <v>5.72856077809455</v>
      </c>
      <c r="F7" s="53">
        <f>G7+I7+K7+M7+O7+Q7+S7+U7</f>
        <v>2.393157309781534</v>
      </c>
      <c r="G7" s="189">
        <f>H7/C7/12</f>
        <v>0.6644541192777141</v>
      </c>
      <c r="H7" s="30">
        <f>H8+H58+H145+H192</f>
        <v>5157562.296</v>
      </c>
      <c r="I7" s="189">
        <f>J7/C7/12</f>
        <v>0.49034127713776926</v>
      </c>
      <c r="J7" s="30">
        <f>J8+J58+J145+J192</f>
        <v>3806080.2240000004</v>
      </c>
      <c r="K7" s="189">
        <f>L7/C7/12</f>
        <v>0.09448416494388645</v>
      </c>
      <c r="L7" s="30">
        <f>L8+L58+L145+L192</f>
        <v>733395.9600000001</v>
      </c>
      <c r="M7" s="189">
        <f>N7/C7/12</f>
        <v>0.6732013608762967</v>
      </c>
      <c r="N7" s="30">
        <f>N8+N58+N145+N192</f>
        <v>5225459.2992</v>
      </c>
      <c r="O7" s="189">
        <f>P7/C7/12</f>
        <v>0.08173804071238164</v>
      </c>
      <c r="P7" s="30">
        <f>P8+P58+P145+P192</f>
        <v>634459.2119999999</v>
      </c>
      <c r="Q7" s="189">
        <f>R7/C7/12</f>
        <v>0.010788742951834114</v>
      </c>
      <c r="R7" s="30">
        <f>R8+R58+R145+R192</f>
        <v>83743.35</v>
      </c>
      <c r="S7" s="189">
        <f>T7/C7/12</f>
        <v>0.2014721665277044</v>
      </c>
      <c r="T7" s="30">
        <f>T8+T58+T145+T192</f>
        <v>1563848.0064000003</v>
      </c>
      <c r="U7" s="189">
        <f>V7/C7/12</f>
        <v>0.1766774373539481</v>
      </c>
      <c r="V7" s="30">
        <f>V8+V58+V145+V192</f>
        <v>1371388.728</v>
      </c>
      <c r="W7" s="107"/>
      <c r="X7" s="107"/>
      <c r="Y7" s="55">
        <f>Y8+Y58+Y145+Y192</f>
        <v>646842.04</v>
      </c>
      <c r="Z7" s="33">
        <f>AA7+AC7+AE7+AG7+AI7</f>
        <v>2.4855910770219367</v>
      </c>
      <c r="AA7" s="33">
        <f>AB7/C7/12</f>
        <v>0.7080080709761333</v>
      </c>
      <c r="AB7" s="30">
        <f>AB8+AB58+AB145+AB192</f>
        <v>5495632.619600002</v>
      </c>
      <c r="AC7" s="189">
        <f>AD7/C7/12</f>
        <v>0.5962564702813687</v>
      </c>
      <c r="AD7" s="30">
        <f>AD8+AD58+AD145+AD192</f>
        <v>4628205.019199999</v>
      </c>
      <c r="AE7" s="189">
        <f>AF7/C7/12</f>
        <v>0.5174032565972365</v>
      </c>
      <c r="AF7" s="30">
        <f>AF8+AF58+AF145+AF192</f>
        <v>4016138.1359999995</v>
      </c>
      <c r="AG7" s="189">
        <f>AH7/C7/12</f>
        <v>0.47179999308641096</v>
      </c>
      <c r="AH7" s="30">
        <f>AH8+AH58+AH145+AH192</f>
        <v>3662160.84</v>
      </c>
      <c r="AI7" s="189">
        <f>AJ7/C7/12</f>
        <v>0.19212328608078721</v>
      </c>
      <c r="AJ7" s="30">
        <f>AJ8+AJ58+AJ145+AJ192</f>
        <v>1491281.0196000002</v>
      </c>
      <c r="AK7" s="33">
        <f>AL7+AN7+AP7+AR7+AT7</f>
        <v>0.8498123912910793</v>
      </c>
      <c r="AL7" s="189">
        <f>AM7/C7/12</f>
        <v>0.2219980658647357</v>
      </c>
      <c r="AM7" s="30">
        <f>AM8+AM58+AM145+AM192</f>
        <v>1723172.1816</v>
      </c>
      <c r="AN7" s="189">
        <f>AO7/C7/12</f>
        <v>0.36274256540283</v>
      </c>
      <c r="AO7" s="30">
        <f>AO8+AO58+AO145+AO192</f>
        <v>2815645.692</v>
      </c>
      <c r="AP7" s="189">
        <f>AQ7/C7/12</f>
        <v>0.012248028900533428</v>
      </c>
      <c r="AQ7" s="30">
        <f>AQ8+AQ58+AQ145+AQ192</f>
        <v>95070.48000000001</v>
      </c>
      <c r="AR7" s="189">
        <f>AS7/C7/12</f>
        <v>0.1399968437425619</v>
      </c>
      <c r="AS7" s="30">
        <f>AS8+AS58+AS145+AS192</f>
        <v>1086670.1279999998</v>
      </c>
      <c r="AT7" s="189">
        <f>AU7/C7/12</f>
        <v>0.11282688738041824</v>
      </c>
      <c r="AU7" s="30">
        <f>AU8+AU58+AU145+AU192</f>
        <v>875774.088</v>
      </c>
      <c r="AV7" s="16"/>
    </row>
    <row r="8" spans="1:48" s="49" customFormat="1" ht="12">
      <c r="A8" s="31"/>
      <c r="B8" s="25" t="s">
        <v>2</v>
      </c>
      <c r="C8" s="164">
        <f>SUM(C9:C57)</f>
        <v>162656.13</v>
      </c>
      <c r="D8" s="31"/>
      <c r="E8" s="31"/>
      <c r="F8" s="7">
        <f>G8+I8+K8+M8+O8+Q8+S8+U8</f>
        <v>2.2093589648296685</v>
      </c>
      <c r="G8" s="26">
        <f>H8/C8/12</f>
        <v>0.7065463687104815</v>
      </c>
      <c r="H8" s="32">
        <f>SUM(H9:H57)</f>
        <v>1379089.176</v>
      </c>
      <c r="I8" s="26">
        <f>J8/C8/12</f>
        <v>0.5259528060823776</v>
      </c>
      <c r="J8" s="31">
        <f>SUM(J9:J57)</f>
        <v>1026593.3759999999</v>
      </c>
      <c r="K8" s="26">
        <f>L8/C8/12</f>
        <v>0.07419077289002267</v>
      </c>
      <c r="L8" s="31">
        <f>SUM(L9:L57)</f>
        <v>144811.00800000003</v>
      </c>
      <c r="M8" s="26">
        <f>N8/C8/12</f>
        <v>0.4812014093781771</v>
      </c>
      <c r="N8" s="32">
        <f>SUM(N9:N57)</f>
        <v>939244.308</v>
      </c>
      <c r="O8" s="26">
        <f>P8/C8/12</f>
        <v>0.12852139049416703</v>
      </c>
      <c r="P8" s="31">
        <f>SUM(P9:P57)</f>
        <v>250857.504</v>
      </c>
      <c r="Q8" s="26">
        <f>R8/C8/12</f>
        <v>0.0021169813888969324</v>
      </c>
      <c r="R8" s="31">
        <f>SUM(R9:R57)</f>
        <v>4132.08</v>
      </c>
      <c r="S8" s="26">
        <f>T8/C8/12</f>
        <v>0.13618926627603883</v>
      </c>
      <c r="T8" s="32">
        <f>SUM(T9:T57)</f>
        <v>265824.2279999999</v>
      </c>
      <c r="U8" s="26">
        <f>V8/C8/12</f>
        <v>0.15463996960950685</v>
      </c>
      <c r="V8" s="32">
        <f>SUM(V9:V57)</f>
        <v>301837.66799999995</v>
      </c>
      <c r="W8" s="31"/>
      <c r="X8" s="25" t="s">
        <v>2</v>
      </c>
      <c r="Y8" s="164">
        <f>SUM(Y9:Y57)</f>
        <v>162656.13</v>
      </c>
      <c r="Z8" s="44"/>
      <c r="AA8" s="33">
        <f>AB8/C8/12</f>
        <v>0.8647617000355292</v>
      </c>
      <c r="AB8" s="32">
        <f>SUM(AB9:AB57)</f>
        <v>1687905.4980000006</v>
      </c>
      <c r="AC8" s="189">
        <f>AD8/C8/12</f>
        <v>0.7763486786510905</v>
      </c>
      <c r="AD8" s="32">
        <f>SUM(AD9:AD57)</f>
        <v>1515334.4592</v>
      </c>
      <c r="AE8" s="189">
        <f>AF8/C8/12</f>
        <v>0.5323214932016395</v>
      </c>
      <c r="AF8" s="32">
        <f>SUM(AF9:AF57)</f>
        <v>1039024.2479999998</v>
      </c>
      <c r="AG8" s="189">
        <f>AH8/C8/12</f>
        <v>0.6065562054132233</v>
      </c>
      <c r="AH8" s="32">
        <f>SUM(AH9:AH57)</f>
        <v>1183921.0199999996</v>
      </c>
      <c r="AI8" s="189">
        <f>AJ8/C8/12</f>
        <v>0.197006174928667</v>
      </c>
      <c r="AJ8" s="32">
        <f>SUM(AJ9:AJ57)</f>
        <v>384531.14400000003</v>
      </c>
      <c r="AK8" s="44"/>
      <c r="AL8" s="189">
        <f>AM8/C8/12</f>
        <v>0.20774096002407041</v>
      </c>
      <c r="AM8" s="32">
        <f>SUM(AM9:AM57)</f>
        <v>405484.0872</v>
      </c>
      <c r="AN8" s="189">
        <f>AO8/C8/12</f>
        <v>0.5080687152706757</v>
      </c>
      <c r="AO8" s="32">
        <f>SUM(AO9:AO57)</f>
        <v>991685.8920000001</v>
      </c>
      <c r="AP8" s="189">
        <f>AQ8/C8/12</f>
        <v>0</v>
      </c>
      <c r="AQ8" s="32">
        <f>SUM(AQ9:AQ57)</f>
        <v>0</v>
      </c>
      <c r="AR8" s="189">
        <f>AS8/C8/12</f>
        <v>0.17650489409775086</v>
      </c>
      <c r="AS8" s="32">
        <f>SUM(AS9:AS57)</f>
        <v>344515.236</v>
      </c>
      <c r="AT8" s="189">
        <f>AU8/C8/12</f>
        <v>0</v>
      </c>
      <c r="AU8" s="32">
        <f>SUM(AU9:AU57)</f>
        <v>0</v>
      </c>
      <c r="AV8" s="44"/>
    </row>
    <row r="9" spans="1:48" ht="12.75">
      <c r="A9" s="34">
        <v>1</v>
      </c>
      <c r="B9" s="3" t="s">
        <v>99</v>
      </c>
      <c r="C9" s="168">
        <v>3171</v>
      </c>
      <c r="D9" s="5">
        <f>F9+Z9+AK9+AV9</f>
        <v>6.359999999999999</v>
      </c>
      <c r="E9" s="54">
        <f>(H9+J9+L9+N9+P9+R9+T9+V9+AB9+AD9+AF9+AH9+AJ9+AM9+AO9+AQ9+AS9+AU9)/C9/12</f>
        <v>6.36</v>
      </c>
      <c r="F9" s="7">
        <f>G9+I9+K9+M9+O9+Q9+S9+U9</f>
        <v>1.1800000000000002</v>
      </c>
      <c r="G9" s="2">
        <v>0.36</v>
      </c>
      <c r="H9" s="2">
        <f>G9*C9*12</f>
        <v>13698.72</v>
      </c>
      <c r="I9" s="2">
        <v>0.55</v>
      </c>
      <c r="J9" s="2">
        <f>I9*C9*12</f>
        <v>20928.600000000002</v>
      </c>
      <c r="K9" s="2"/>
      <c r="L9" s="2">
        <f>K9*C9*12</f>
        <v>0</v>
      </c>
      <c r="M9" s="2"/>
      <c r="N9" s="2">
        <f>M9*C9*12</f>
        <v>0</v>
      </c>
      <c r="O9" s="2">
        <v>0.07</v>
      </c>
      <c r="P9" s="2">
        <f>O9*C9*12</f>
        <v>2663.6400000000003</v>
      </c>
      <c r="Q9" s="2"/>
      <c r="R9" s="2">
        <f>Q9*C9*12</f>
        <v>0</v>
      </c>
      <c r="S9" s="21">
        <v>0.1</v>
      </c>
      <c r="T9" s="21">
        <f>S9*C9*12</f>
        <v>3805.2000000000003</v>
      </c>
      <c r="U9" s="2">
        <v>0.1</v>
      </c>
      <c r="V9" s="21">
        <f>U9*C9*12</f>
        <v>3805.2000000000003</v>
      </c>
      <c r="W9" s="34">
        <v>1</v>
      </c>
      <c r="X9" s="3" t="s">
        <v>99</v>
      </c>
      <c r="Y9" s="168">
        <v>3171</v>
      </c>
      <c r="Z9" s="32">
        <f>AA9+AC9+AE9+AG9+AI9</f>
        <v>4.18</v>
      </c>
      <c r="AA9" s="2">
        <v>0.9</v>
      </c>
      <c r="AB9" s="21">
        <f>AA9*C9*12</f>
        <v>34246.8</v>
      </c>
      <c r="AC9" s="2">
        <v>0.8</v>
      </c>
      <c r="AD9" s="21">
        <f>AC9*$C$9*12</f>
        <v>30441.600000000002</v>
      </c>
      <c r="AE9" s="2">
        <v>0.8</v>
      </c>
      <c r="AF9" s="21">
        <f>AE9*C9*12</f>
        <v>30441.600000000002</v>
      </c>
      <c r="AG9" s="2">
        <v>1.58</v>
      </c>
      <c r="AH9" s="21">
        <f>AG9*C9*12</f>
        <v>60122.16</v>
      </c>
      <c r="AI9" s="2">
        <v>0.1</v>
      </c>
      <c r="AJ9" s="21">
        <f>AI9*C9*12</f>
        <v>3805.2000000000003</v>
      </c>
      <c r="AK9" s="32">
        <f>AL9+AN9+AP9+AR9+AT9</f>
        <v>1</v>
      </c>
      <c r="AL9" s="1">
        <v>0.5</v>
      </c>
      <c r="AM9" s="21">
        <f>AL9*C9*12</f>
        <v>19026</v>
      </c>
      <c r="AN9" s="1"/>
      <c r="AO9" s="21">
        <f>AN9*C9*12</f>
        <v>0</v>
      </c>
      <c r="AP9" s="197"/>
      <c r="AQ9" s="21">
        <f>AP9*C9*12</f>
        <v>0</v>
      </c>
      <c r="AR9" s="5">
        <v>0.5</v>
      </c>
      <c r="AS9" s="21">
        <f>AR9*C9*12</f>
        <v>19026</v>
      </c>
      <c r="AT9" s="1"/>
      <c r="AU9" s="21">
        <f>AT9*C9*12</f>
        <v>0</v>
      </c>
      <c r="AV9" s="16"/>
    </row>
    <row r="10" spans="1:48" ht="12.75">
      <c r="A10" s="34">
        <f aca="true" t="shared" si="0" ref="A10:A57">A9+1</f>
        <v>2</v>
      </c>
      <c r="B10" s="3" t="s">
        <v>100</v>
      </c>
      <c r="C10" s="168">
        <v>3122</v>
      </c>
      <c r="D10" s="5">
        <f aca="true" t="shared" si="1" ref="D10:D59">F10+Z10+AK10+AV10</f>
        <v>6.1499999999999995</v>
      </c>
      <c r="E10" s="54">
        <f aca="true" t="shared" si="2" ref="E10:E57">(H10+J10+L10+N10+P10+R10+T10+V10+AB10+AD10+AF10+AH10+AJ10+AM10+AO10+AQ10+AS10+AU10)/C10/12</f>
        <v>6.1499999999999995</v>
      </c>
      <c r="F10" s="7">
        <f>G10+I10+K10+M10+O10+Q10+S10+U10</f>
        <v>0.43000000000000005</v>
      </c>
      <c r="G10" s="2"/>
      <c r="H10" s="2">
        <f>G10*C10*12</f>
        <v>0</v>
      </c>
      <c r="I10" s="2"/>
      <c r="J10" s="2">
        <f aca="true" t="shared" si="3" ref="J10:J73">I10*C10*12</f>
        <v>0</v>
      </c>
      <c r="K10" s="2"/>
      <c r="L10" s="2">
        <f aca="true" t="shared" si="4" ref="L10:L73">K10*C10*12</f>
        <v>0</v>
      </c>
      <c r="M10" s="37"/>
      <c r="N10" s="2">
        <f aca="true" t="shared" si="5" ref="N10:N73">M10*C10*12</f>
        <v>0</v>
      </c>
      <c r="O10" s="21">
        <v>0.2</v>
      </c>
      <c r="P10" s="2">
        <f aca="true" t="shared" si="6" ref="P10:P73">O10*C10*12</f>
        <v>7492.800000000001</v>
      </c>
      <c r="Q10" s="2"/>
      <c r="R10" s="2">
        <f aca="true" t="shared" si="7" ref="R10:R73">Q10*C10*12</f>
        <v>0</v>
      </c>
      <c r="S10" s="21">
        <v>0.1</v>
      </c>
      <c r="T10" s="21">
        <f aca="true" t="shared" si="8" ref="T10:T73">S10*C10*12</f>
        <v>3746.4000000000005</v>
      </c>
      <c r="U10" s="2">
        <v>0.13</v>
      </c>
      <c r="V10" s="21">
        <f aca="true" t="shared" si="9" ref="V10:V73">U10*C10*12</f>
        <v>4870.32</v>
      </c>
      <c r="W10" s="34">
        <f aca="true" t="shared" si="10" ref="W10:W57">W9+1</f>
        <v>2</v>
      </c>
      <c r="X10" s="3" t="s">
        <v>100</v>
      </c>
      <c r="Y10" s="168">
        <v>3122</v>
      </c>
      <c r="Z10" s="32">
        <f aca="true" t="shared" si="11" ref="Z10:Z73">AA10+AC10+AE10+AG10+AI10</f>
        <v>4.72</v>
      </c>
      <c r="AA10" s="2">
        <v>1.72</v>
      </c>
      <c r="AB10" s="21">
        <f aca="true" t="shared" si="12" ref="AB10:AB73">AA10*C10*12</f>
        <v>64438.08</v>
      </c>
      <c r="AC10" s="2">
        <v>0.9</v>
      </c>
      <c r="AD10" s="21">
        <f aca="true" t="shared" si="13" ref="AD10:AD60">AC10*C10*12</f>
        <v>33717.600000000006</v>
      </c>
      <c r="AE10" s="2">
        <v>0.8</v>
      </c>
      <c r="AF10" s="21">
        <f aca="true" t="shared" si="14" ref="AF10:AF56">AE10*C10*12</f>
        <v>29971.200000000004</v>
      </c>
      <c r="AG10" s="2">
        <v>1.1</v>
      </c>
      <c r="AH10" s="21">
        <f aca="true" t="shared" si="15" ref="AH10:AH60">AG10*C10*12</f>
        <v>41210.4</v>
      </c>
      <c r="AI10" s="2">
        <v>0.2</v>
      </c>
      <c r="AJ10" s="21">
        <f aca="true" t="shared" si="16" ref="AJ10:AJ56">AI10*C10*12</f>
        <v>7492.800000000001</v>
      </c>
      <c r="AK10" s="32">
        <f aca="true" t="shared" si="17" ref="AK10:AK73">AL10+AN10+AP10+AR10+AT10</f>
        <v>1</v>
      </c>
      <c r="AL10" s="1">
        <v>0.8</v>
      </c>
      <c r="AM10" s="21">
        <f aca="true" t="shared" si="18" ref="AM10:AM73">AL10*C10*12</f>
        <v>29971.200000000004</v>
      </c>
      <c r="AN10" s="1"/>
      <c r="AO10" s="21">
        <f aca="true" t="shared" si="19" ref="AO10:AO73">AN10*C10*12</f>
        <v>0</v>
      </c>
      <c r="AP10" s="197"/>
      <c r="AQ10" s="21">
        <f aca="true" t="shared" si="20" ref="AQ10:AQ73">AP10*C10*12</f>
        <v>0</v>
      </c>
      <c r="AR10" s="5">
        <v>0.2</v>
      </c>
      <c r="AS10" s="21">
        <f aca="true" t="shared" si="21" ref="AS10:AS73">AR10*C10*12</f>
        <v>7492.800000000001</v>
      </c>
      <c r="AT10" s="1"/>
      <c r="AU10" s="21">
        <f aca="true" t="shared" si="22" ref="AU10:AU73">AT10*C10*12</f>
        <v>0</v>
      </c>
      <c r="AV10" s="16"/>
    </row>
    <row r="11" spans="1:48" ht="12.75">
      <c r="A11" s="34">
        <f t="shared" si="0"/>
        <v>3</v>
      </c>
      <c r="B11" s="3" t="s">
        <v>3</v>
      </c>
      <c r="C11" s="80">
        <v>5205.1</v>
      </c>
      <c r="D11" s="5">
        <f t="shared" si="1"/>
        <v>6.1000000000000005</v>
      </c>
      <c r="E11" s="54">
        <f t="shared" si="2"/>
        <v>6.1000000000000005</v>
      </c>
      <c r="F11" s="7">
        <f aca="true" t="shared" si="23" ref="F11:F40">G11+I11+K11+M11+O11+Q11+S11+U11</f>
        <v>1.35</v>
      </c>
      <c r="G11" s="2">
        <v>0.8</v>
      </c>
      <c r="H11" s="2">
        <f aca="true" t="shared" si="24" ref="H11:H74">G11*C11*12</f>
        <v>49968.96000000001</v>
      </c>
      <c r="I11" s="2">
        <v>0.15</v>
      </c>
      <c r="J11" s="2">
        <f t="shared" si="3"/>
        <v>9369.18</v>
      </c>
      <c r="K11" s="190"/>
      <c r="L11" s="2">
        <f t="shared" si="4"/>
        <v>0</v>
      </c>
      <c r="M11" s="37"/>
      <c r="N11" s="2">
        <f t="shared" si="5"/>
        <v>0</v>
      </c>
      <c r="O11" s="21"/>
      <c r="P11" s="2">
        <f t="shared" si="6"/>
        <v>0</v>
      </c>
      <c r="Q11" s="2"/>
      <c r="R11" s="2">
        <f t="shared" si="7"/>
        <v>0</v>
      </c>
      <c r="S11" s="21">
        <v>0.1</v>
      </c>
      <c r="T11" s="21">
        <f t="shared" si="8"/>
        <v>6246.120000000001</v>
      </c>
      <c r="U11" s="2">
        <v>0.3</v>
      </c>
      <c r="V11" s="21">
        <f t="shared" si="9"/>
        <v>18738.36</v>
      </c>
      <c r="W11" s="34">
        <f t="shared" si="10"/>
        <v>3</v>
      </c>
      <c r="X11" s="3" t="s">
        <v>3</v>
      </c>
      <c r="Y11" s="80">
        <v>5205.1</v>
      </c>
      <c r="Z11" s="32">
        <f t="shared" si="11"/>
        <v>3.85</v>
      </c>
      <c r="AA11" s="2">
        <v>1.05</v>
      </c>
      <c r="AB11" s="21">
        <f t="shared" si="12"/>
        <v>65584.26000000001</v>
      </c>
      <c r="AC11" s="2">
        <v>0.8</v>
      </c>
      <c r="AD11" s="21">
        <f t="shared" si="13"/>
        <v>49968.96000000001</v>
      </c>
      <c r="AE11" s="2">
        <v>0.6</v>
      </c>
      <c r="AF11" s="21">
        <f t="shared" si="14"/>
        <v>37476.72</v>
      </c>
      <c r="AG11" s="2">
        <v>1.1</v>
      </c>
      <c r="AH11" s="21">
        <f t="shared" si="15"/>
        <v>68707.32</v>
      </c>
      <c r="AI11" s="2">
        <v>0.3</v>
      </c>
      <c r="AJ11" s="21">
        <f t="shared" si="16"/>
        <v>18738.36</v>
      </c>
      <c r="AK11" s="32">
        <f t="shared" si="17"/>
        <v>0.9</v>
      </c>
      <c r="AL11" s="1">
        <v>0.8</v>
      </c>
      <c r="AM11" s="21">
        <f t="shared" si="18"/>
        <v>49968.96000000001</v>
      </c>
      <c r="AN11" s="1"/>
      <c r="AO11" s="21">
        <f t="shared" si="19"/>
        <v>0</v>
      </c>
      <c r="AP11" s="197"/>
      <c r="AQ11" s="21">
        <f t="shared" si="20"/>
        <v>0</v>
      </c>
      <c r="AR11" s="5">
        <v>0.1</v>
      </c>
      <c r="AS11" s="21">
        <f t="shared" si="21"/>
        <v>6246.120000000001</v>
      </c>
      <c r="AT11" s="1"/>
      <c r="AU11" s="21">
        <f t="shared" si="22"/>
        <v>0</v>
      </c>
      <c r="AV11" s="16"/>
    </row>
    <row r="12" spans="1:48" ht="12.75">
      <c r="A12" s="34">
        <f t="shared" si="0"/>
        <v>4</v>
      </c>
      <c r="B12" s="3" t="s">
        <v>4</v>
      </c>
      <c r="C12" s="80">
        <v>4769.4</v>
      </c>
      <c r="D12" s="5">
        <f t="shared" si="1"/>
        <v>6.24</v>
      </c>
      <c r="E12" s="54">
        <f t="shared" si="2"/>
        <v>6.240000000000001</v>
      </c>
      <c r="F12" s="7">
        <f t="shared" si="23"/>
        <v>0.85</v>
      </c>
      <c r="G12" s="2">
        <v>0.5</v>
      </c>
      <c r="H12" s="2">
        <f t="shared" si="24"/>
        <v>28616.399999999998</v>
      </c>
      <c r="I12" s="2"/>
      <c r="J12" s="2">
        <f t="shared" si="3"/>
        <v>0</v>
      </c>
      <c r="K12" s="2"/>
      <c r="L12" s="2">
        <f t="shared" si="4"/>
        <v>0</v>
      </c>
      <c r="M12" s="37"/>
      <c r="N12" s="2">
        <f t="shared" si="5"/>
        <v>0</v>
      </c>
      <c r="O12" s="21">
        <v>0.1</v>
      </c>
      <c r="P12" s="2">
        <f t="shared" si="6"/>
        <v>5723.28</v>
      </c>
      <c r="Q12" s="2"/>
      <c r="R12" s="2">
        <f t="shared" si="7"/>
        <v>0</v>
      </c>
      <c r="S12" s="21">
        <v>0.12</v>
      </c>
      <c r="T12" s="21">
        <f t="shared" si="8"/>
        <v>6867.936</v>
      </c>
      <c r="U12" s="2">
        <v>0.13</v>
      </c>
      <c r="V12" s="21">
        <f t="shared" si="9"/>
        <v>7440.263999999999</v>
      </c>
      <c r="W12" s="34">
        <f t="shared" si="10"/>
        <v>4</v>
      </c>
      <c r="X12" s="3" t="s">
        <v>4</v>
      </c>
      <c r="Y12" s="80">
        <v>4769.4</v>
      </c>
      <c r="Z12" s="32">
        <f t="shared" si="11"/>
        <v>2.8400000000000003</v>
      </c>
      <c r="AA12" s="2">
        <v>0.41</v>
      </c>
      <c r="AB12" s="21">
        <f t="shared" si="12"/>
        <v>23465.447999999997</v>
      </c>
      <c r="AC12" s="2">
        <v>0.84</v>
      </c>
      <c r="AD12" s="21">
        <f t="shared" si="13"/>
        <v>48075.551999999996</v>
      </c>
      <c r="AE12" s="2">
        <v>0.74</v>
      </c>
      <c r="AF12" s="21">
        <f t="shared" si="14"/>
        <v>42352.272</v>
      </c>
      <c r="AG12" s="2">
        <v>0.75</v>
      </c>
      <c r="AH12" s="21">
        <f t="shared" si="15"/>
        <v>42924.6</v>
      </c>
      <c r="AI12" s="2">
        <v>0.1</v>
      </c>
      <c r="AJ12" s="21">
        <f t="shared" si="16"/>
        <v>5723.28</v>
      </c>
      <c r="AK12" s="32">
        <f t="shared" si="17"/>
        <v>2.55</v>
      </c>
      <c r="AL12" s="1">
        <v>0.5</v>
      </c>
      <c r="AM12" s="21">
        <f t="shared" si="18"/>
        <v>28616.399999999998</v>
      </c>
      <c r="AN12" s="1">
        <v>2.05</v>
      </c>
      <c r="AO12" s="21">
        <f>AN12*C12*12</f>
        <v>117327.23999999999</v>
      </c>
      <c r="AP12" s="197"/>
      <c r="AQ12" s="21">
        <f t="shared" si="20"/>
        <v>0</v>
      </c>
      <c r="AR12" s="1"/>
      <c r="AS12" s="21">
        <f t="shared" si="21"/>
        <v>0</v>
      </c>
      <c r="AT12" s="1"/>
      <c r="AU12" s="21">
        <f t="shared" si="22"/>
        <v>0</v>
      </c>
      <c r="AV12" s="16"/>
    </row>
    <row r="13" spans="1:48" ht="12.75">
      <c r="A13" s="34">
        <f t="shared" si="0"/>
        <v>5</v>
      </c>
      <c r="B13" s="3" t="s">
        <v>5</v>
      </c>
      <c r="C13" s="80">
        <v>3529.3</v>
      </c>
      <c r="D13" s="5">
        <f t="shared" si="1"/>
        <v>6.32</v>
      </c>
      <c r="E13" s="54">
        <f t="shared" si="2"/>
        <v>6.320000000000001</v>
      </c>
      <c r="F13" s="7">
        <f t="shared" si="23"/>
        <v>1.3200000000000003</v>
      </c>
      <c r="G13" s="2">
        <v>1.1</v>
      </c>
      <c r="H13" s="2">
        <f t="shared" si="24"/>
        <v>46586.76000000001</v>
      </c>
      <c r="I13" s="2"/>
      <c r="J13" s="2">
        <f t="shared" si="3"/>
        <v>0</v>
      </c>
      <c r="K13" s="2"/>
      <c r="L13" s="2">
        <f t="shared" si="4"/>
        <v>0</v>
      </c>
      <c r="M13" s="37"/>
      <c r="N13" s="2">
        <f t="shared" si="5"/>
        <v>0</v>
      </c>
      <c r="O13" s="2"/>
      <c r="P13" s="2">
        <f t="shared" si="6"/>
        <v>0</v>
      </c>
      <c r="Q13" s="2"/>
      <c r="R13" s="2">
        <f t="shared" si="7"/>
        <v>0</v>
      </c>
      <c r="S13" s="21">
        <v>0.12</v>
      </c>
      <c r="T13" s="21">
        <f t="shared" si="8"/>
        <v>5082.192</v>
      </c>
      <c r="U13" s="2">
        <v>0.1</v>
      </c>
      <c r="V13" s="21">
        <f t="shared" si="9"/>
        <v>4235.160000000001</v>
      </c>
      <c r="W13" s="34">
        <f t="shared" si="10"/>
        <v>5</v>
      </c>
      <c r="X13" s="3" t="s">
        <v>5</v>
      </c>
      <c r="Y13" s="80">
        <v>3529.3</v>
      </c>
      <c r="Z13" s="32">
        <f t="shared" si="11"/>
        <v>3.0300000000000002</v>
      </c>
      <c r="AA13" s="2">
        <v>0.33</v>
      </c>
      <c r="AB13" s="21">
        <f t="shared" si="12"/>
        <v>13976.028000000002</v>
      </c>
      <c r="AC13" s="2">
        <v>1.1</v>
      </c>
      <c r="AD13" s="21">
        <f t="shared" si="13"/>
        <v>46586.76000000001</v>
      </c>
      <c r="AE13" s="2">
        <v>0.8</v>
      </c>
      <c r="AF13" s="21">
        <f t="shared" si="14"/>
        <v>33881.280000000006</v>
      </c>
      <c r="AG13" s="2">
        <v>0.5</v>
      </c>
      <c r="AH13" s="21">
        <f t="shared" si="15"/>
        <v>21175.800000000003</v>
      </c>
      <c r="AI13" s="2">
        <v>0.3</v>
      </c>
      <c r="AJ13" s="21">
        <f t="shared" si="16"/>
        <v>12705.48</v>
      </c>
      <c r="AK13" s="32">
        <f t="shared" si="17"/>
        <v>1.97</v>
      </c>
      <c r="AL13" s="1">
        <v>0.5</v>
      </c>
      <c r="AM13" s="21">
        <f t="shared" si="18"/>
        <v>21175.800000000003</v>
      </c>
      <c r="AN13" s="1">
        <v>1.27</v>
      </c>
      <c r="AO13" s="21">
        <f t="shared" si="19"/>
        <v>53786.53200000001</v>
      </c>
      <c r="AP13" s="197"/>
      <c r="AQ13" s="21">
        <f t="shared" si="20"/>
        <v>0</v>
      </c>
      <c r="AR13" s="1">
        <v>0.2</v>
      </c>
      <c r="AS13" s="21">
        <f t="shared" si="21"/>
        <v>8470.320000000002</v>
      </c>
      <c r="AT13" s="1"/>
      <c r="AU13" s="21">
        <f t="shared" si="22"/>
        <v>0</v>
      </c>
      <c r="AV13" s="16"/>
    </row>
    <row r="14" spans="1:48" ht="12.75">
      <c r="A14" s="34">
        <f t="shared" si="0"/>
        <v>6</v>
      </c>
      <c r="B14" s="3" t="s">
        <v>6</v>
      </c>
      <c r="C14" s="80">
        <v>2617.4</v>
      </c>
      <c r="D14" s="5">
        <f t="shared" si="1"/>
        <v>6.21</v>
      </c>
      <c r="E14" s="54">
        <f t="shared" si="2"/>
        <v>6.210000000000001</v>
      </c>
      <c r="F14" s="7">
        <f t="shared" si="23"/>
        <v>2.21</v>
      </c>
      <c r="G14" s="2">
        <v>1.8</v>
      </c>
      <c r="H14" s="2">
        <f t="shared" si="24"/>
        <v>56535.84000000001</v>
      </c>
      <c r="I14" s="2"/>
      <c r="J14" s="2">
        <f t="shared" si="3"/>
        <v>0</v>
      </c>
      <c r="K14" s="2"/>
      <c r="L14" s="2">
        <f t="shared" si="4"/>
        <v>0</v>
      </c>
      <c r="M14" s="2"/>
      <c r="N14" s="2">
        <f t="shared" si="5"/>
        <v>0</v>
      </c>
      <c r="O14" s="2">
        <v>0.2</v>
      </c>
      <c r="P14" s="2">
        <f t="shared" si="6"/>
        <v>6281.76</v>
      </c>
      <c r="Q14" s="2"/>
      <c r="R14" s="2">
        <f t="shared" si="7"/>
        <v>0</v>
      </c>
      <c r="S14" s="21">
        <v>0.1</v>
      </c>
      <c r="T14" s="21">
        <f t="shared" si="8"/>
        <v>3140.88</v>
      </c>
      <c r="U14" s="2">
        <v>0.11</v>
      </c>
      <c r="V14" s="21">
        <f t="shared" si="9"/>
        <v>3454.968</v>
      </c>
      <c r="W14" s="34">
        <f t="shared" si="10"/>
        <v>6</v>
      </c>
      <c r="X14" s="3" t="s">
        <v>6</v>
      </c>
      <c r="Y14" s="80">
        <v>2617.4</v>
      </c>
      <c r="Z14" s="32">
        <f t="shared" si="11"/>
        <v>3.05</v>
      </c>
      <c r="AA14" s="2">
        <v>0.9</v>
      </c>
      <c r="AB14" s="21">
        <f t="shared" si="12"/>
        <v>28267.920000000006</v>
      </c>
      <c r="AC14" s="2">
        <v>0.9</v>
      </c>
      <c r="AD14" s="21">
        <f t="shared" si="13"/>
        <v>28267.920000000006</v>
      </c>
      <c r="AE14" s="2">
        <v>0.5</v>
      </c>
      <c r="AF14" s="21">
        <f t="shared" si="14"/>
        <v>15704.400000000001</v>
      </c>
      <c r="AG14" s="2">
        <v>0.6</v>
      </c>
      <c r="AH14" s="21">
        <f t="shared" si="15"/>
        <v>18845.28</v>
      </c>
      <c r="AI14" s="2">
        <v>0.15</v>
      </c>
      <c r="AJ14" s="21">
        <f t="shared" si="16"/>
        <v>4711.32</v>
      </c>
      <c r="AK14" s="32">
        <f t="shared" si="17"/>
        <v>0.9500000000000001</v>
      </c>
      <c r="AL14" s="1"/>
      <c r="AM14" s="21">
        <f t="shared" si="18"/>
        <v>0</v>
      </c>
      <c r="AN14" s="1">
        <v>0.8</v>
      </c>
      <c r="AO14" s="21">
        <f t="shared" si="19"/>
        <v>25127.04</v>
      </c>
      <c r="AP14" s="197"/>
      <c r="AQ14" s="21">
        <f t="shared" si="20"/>
        <v>0</v>
      </c>
      <c r="AR14" s="1">
        <v>0.15</v>
      </c>
      <c r="AS14" s="21">
        <f t="shared" si="21"/>
        <v>4711.32</v>
      </c>
      <c r="AT14" s="1"/>
      <c r="AU14" s="21">
        <f t="shared" si="22"/>
        <v>0</v>
      </c>
      <c r="AV14" s="16"/>
    </row>
    <row r="15" spans="1:48" ht="12.75">
      <c r="A15" s="34">
        <f t="shared" si="0"/>
        <v>7</v>
      </c>
      <c r="B15" s="3" t="s">
        <v>7</v>
      </c>
      <c r="C15" s="168">
        <v>6336.1</v>
      </c>
      <c r="D15" s="5">
        <f t="shared" si="1"/>
        <v>6.699999999999999</v>
      </c>
      <c r="E15" s="54">
        <f t="shared" si="2"/>
        <v>6.699999999999999</v>
      </c>
      <c r="F15" s="7">
        <f t="shared" si="23"/>
        <v>1.02</v>
      </c>
      <c r="G15" s="2"/>
      <c r="H15" s="2">
        <f t="shared" si="24"/>
        <v>0</v>
      </c>
      <c r="I15" s="2">
        <v>0.8</v>
      </c>
      <c r="J15" s="2">
        <f t="shared" si="3"/>
        <v>60826.56000000001</v>
      </c>
      <c r="K15" s="2"/>
      <c r="L15" s="2">
        <f t="shared" si="4"/>
        <v>0</v>
      </c>
      <c r="M15" s="2"/>
      <c r="N15" s="2">
        <f t="shared" si="5"/>
        <v>0</v>
      </c>
      <c r="O15" s="2"/>
      <c r="P15" s="2">
        <f t="shared" si="6"/>
        <v>0</v>
      </c>
      <c r="Q15" s="2"/>
      <c r="R15" s="2">
        <f t="shared" si="7"/>
        <v>0</v>
      </c>
      <c r="S15" s="21">
        <v>0.12</v>
      </c>
      <c r="T15" s="21">
        <f t="shared" si="8"/>
        <v>9123.984</v>
      </c>
      <c r="U15" s="2">
        <v>0.1</v>
      </c>
      <c r="V15" s="21">
        <f t="shared" si="9"/>
        <v>7603.3200000000015</v>
      </c>
      <c r="W15" s="34">
        <f t="shared" si="10"/>
        <v>7</v>
      </c>
      <c r="X15" s="3" t="s">
        <v>7</v>
      </c>
      <c r="Y15" s="168">
        <v>6336.1</v>
      </c>
      <c r="Z15" s="32">
        <f t="shared" si="11"/>
        <v>5.199999999999999</v>
      </c>
      <c r="AA15" s="2">
        <v>1.8</v>
      </c>
      <c r="AB15" s="21">
        <f t="shared" si="12"/>
        <v>136859.76</v>
      </c>
      <c r="AC15" s="2">
        <v>2.09</v>
      </c>
      <c r="AD15" s="21">
        <f t="shared" si="13"/>
        <v>158909.388</v>
      </c>
      <c r="AE15" s="2">
        <v>0.6</v>
      </c>
      <c r="AF15" s="21">
        <f t="shared" si="14"/>
        <v>45619.92</v>
      </c>
      <c r="AG15" s="2">
        <v>0.31</v>
      </c>
      <c r="AH15" s="21">
        <f t="shared" si="15"/>
        <v>23570.292</v>
      </c>
      <c r="AI15" s="2">
        <v>0.4</v>
      </c>
      <c r="AJ15" s="21">
        <f t="shared" si="16"/>
        <v>30413.280000000006</v>
      </c>
      <c r="AK15" s="32">
        <f t="shared" si="17"/>
        <v>0.48</v>
      </c>
      <c r="AL15" s="1">
        <v>0.38</v>
      </c>
      <c r="AM15" s="21">
        <f t="shared" si="18"/>
        <v>28892.616</v>
      </c>
      <c r="AN15" s="198"/>
      <c r="AO15" s="21">
        <f t="shared" si="19"/>
        <v>0</v>
      </c>
      <c r="AP15" s="197"/>
      <c r="AQ15" s="21">
        <f t="shared" si="20"/>
        <v>0</v>
      </c>
      <c r="AR15" s="1">
        <v>0.1</v>
      </c>
      <c r="AS15" s="21">
        <f t="shared" si="21"/>
        <v>7603.3200000000015</v>
      </c>
      <c r="AT15" s="1"/>
      <c r="AU15" s="21">
        <f t="shared" si="22"/>
        <v>0</v>
      </c>
      <c r="AV15" s="16"/>
    </row>
    <row r="16" spans="1:48" ht="12.75">
      <c r="A16" s="34">
        <f t="shared" si="0"/>
        <v>8</v>
      </c>
      <c r="B16" s="3" t="s">
        <v>8</v>
      </c>
      <c r="C16" s="80">
        <v>2266.4</v>
      </c>
      <c r="D16" s="5">
        <f t="shared" si="1"/>
        <v>6.18</v>
      </c>
      <c r="E16" s="54">
        <f t="shared" si="2"/>
        <v>6.18</v>
      </c>
      <c r="F16" s="7">
        <f t="shared" si="23"/>
        <v>0.4</v>
      </c>
      <c r="G16" s="2"/>
      <c r="H16" s="2">
        <f t="shared" si="24"/>
        <v>0</v>
      </c>
      <c r="I16" s="2">
        <v>0.1</v>
      </c>
      <c r="J16" s="2">
        <f t="shared" si="3"/>
        <v>2719.6800000000003</v>
      </c>
      <c r="K16" s="2"/>
      <c r="L16" s="2">
        <f t="shared" si="4"/>
        <v>0</v>
      </c>
      <c r="M16" s="2"/>
      <c r="N16" s="2">
        <f t="shared" si="5"/>
        <v>0</v>
      </c>
      <c r="O16" s="2"/>
      <c r="P16" s="2">
        <f t="shared" si="6"/>
        <v>0</v>
      </c>
      <c r="Q16" s="2"/>
      <c r="R16" s="2">
        <f t="shared" si="7"/>
        <v>0</v>
      </c>
      <c r="S16" s="21">
        <v>0.15</v>
      </c>
      <c r="T16" s="21">
        <f t="shared" si="8"/>
        <v>4079.5199999999995</v>
      </c>
      <c r="U16" s="2">
        <v>0.15</v>
      </c>
      <c r="V16" s="21">
        <f t="shared" si="9"/>
        <v>4079.5199999999995</v>
      </c>
      <c r="W16" s="34">
        <f t="shared" si="10"/>
        <v>8</v>
      </c>
      <c r="X16" s="3" t="s">
        <v>8</v>
      </c>
      <c r="Y16" s="80">
        <v>2266.4</v>
      </c>
      <c r="Z16" s="32">
        <f t="shared" si="11"/>
        <v>4.779999999999999</v>
      </c>
      <c r="AA16" s="2">
        <v>0.9</v>
      </c>
      <c r="AB16" s="21">
        <f t="shared" si="12"/>
        <v>24477.120000000003</v>
      </c>
      <c r="AC16" s="2">
        <v>1.75</v>
      </c>
      <c r="AD16" s="21">
        <f t="shared" si="13"/>
        <v>47594.4</v>
      </c>
      <c r="AE16" s="2">
        <v>0.7</v>
      </c>
      <c r="AF16" s="21">
        <f t="shared" si="14"/>
        <v>19037.760000000002</v>
      </c>
      <c r="AG16" s="2">
        <v>0.93</v>
      </c>
      <c r="AH16" s="21">
        <f t="shared" si="15"/>
        <v>25293.024000000005</v>
      </c>
      <c r="AI16" s="2">
        <v>0.5</v>
      </c>
      <c r="AJ16" s="21">
        <f t="shared" si="16"/>
        <v>13598.400000000001</v>
      </c>
      <c r="AK16" s="32">
        <f t="shared" si="17"/>
        <v>1</v>
      </c>
      <c r="AL16" s="1">
        <v>0.8</v>
      </c>
      <c r="AM16" s="21">
        <f t="shared" si="18"/>
        <v>21757.440000000002</v>
      </c>
      <c r="AN16" s="1"/>
      <c r="AO16" s="21">
        <f t="shared" si="19"/>
        <v>0</v>
      </c>
      <c r="AP16" s="197"/>
      <c r="AQ16" s="21">
        <f t="shared" si="20"/>
        <v>0</v>
      </c>
      <c r="AR16" s="1">
        <v>0.2</v>
      </c>
      <c r="AS16" s="21">
        <f t="shared" si="21"/>
        <v>5439.360000000001</v>
      </c>
      <c r="AT16" s="1"/>
      <c r="AU16" s="21">
        <f t="shared" si="22"/>
        <v>0</v>
      </c>
      <c r="AV16" s="16"/>
    </row>
    <row r="17" spans="1:48" ht="12.75">
      <c r="A17" s="34">
        <f t="shared" si="0"/>
        <v>9</v>
      </c>
      <c r="B17" s="3" t="s">
        <v>9</v>
      </c>
      <c r="C17" s="80">
        <v>3372.26</v>
      </c>
      <c r="D17" s="5">
        <f t="shared" si="1"/>
        <v>6.410000000000001</v>
      </c>
      <c r="E17" s="54">
        <f t="shared" si="2"/>
        <v>6.41</v>
      </c>
      <c r="F17" s="7">
        <f t="shared" si="23"/>
        <v>0.2</v>
      </c>
      <c r="G17" s="2"/>
      <c r="H17" s="2">
        <f t="shared" si="24"/>
        <v>0</v>
      </c>
      <c r="I17" s="2"/>
      <c r="J17" s="2">
        <f t="shared" si="3"/>
        <v>0</v>
      </c>
      <c r="K17" s="2"/>
      <c r="L17" s="2">
        <f t="shared" si="4"/>
        <v>0</v>
      </c>
      <c r="M17" s="2"/>
      <c r="N17" s="2">
        <f t="shared" si="5"/>
        <v>0</v>
      </c>
      <c r="O17" s="2"/>
      <c r="P17" s="2">
        <f t="shared" si="6"/>
        <v>0</v>
      </c>
      <c r="Q17" s="2"/>
      <c r="R17" s="2">
        <f t="shared" si="7"/>
        <v>0</v>
      </c>
      <c r="S17" s="21">
        <v>0.1</v>
      </c>
      <c r="T17" s="21">
        <f t="shared" si="8"/>
        <v>4046.7120000000004</v>
      </c>
      <c r="U17" s="2">
        <v>0.1</v>
      </c>
      <c r="V17" s="21">
        <f t="shared" si="9"/>
        <v>4046.7120000000004</v>
      </c>
      <c r="W17" s="34">
        <f t="shared" si="10"/>
        <v>9</v>
      </c>
      <c r="X17" s="3" t="s">
        <v>9</v>
      </c>
      <c r="Y17" s="80">
        <v>3372.26</v>
      </c>
      <c r="Z17" s="32">
        <f t="shared" si="11"/>
        <v>4.510000000000001</v>
      </c>
      <c r="AA17" s="2">
        <v>1.35</v>
      </c>
      <c r="AB17" s="21">
        <f t="shared" si="12"/>
        <v>54630.61200000001</v>
      </c>
      <c r="AC17" s="2">
        <v>0.96</v>
      </c>
      <c r="AD17" s="21">
        <f t="shared" si="13"/>
        <v>38848.4352</v>
      </c>
      <c r="AE17" s="2">
        <v>0.8</v>
      </c>
      <c r="AF17" s="21">
        <f t="shared" si="14"/>
        <v>32373.696000000004</v>
      </c>
      <c r="AG17" s="2">
        <v>0.9</v>
      </c>
      <c r="AH17" s="21">
        <f t="shared" si="15"/>
        <v>36420.408</v>
      </c>
      <c r="AI17" s="2">
        <v>0.5</v>
      </c>
      <c r="AJ17" s="21">
        <f t="shared" si="16"/>
        <v>20233.56</v>
      </c>
      <c r="AK17" s="32">
        <f t="shared" si="17"/>
        <v>1.7</v>
      </c>
      <c r="AL17" s="1">
        <v>0.46</v>
      </c>
      <c r="AM17" s="21">
        <f t="shared" si="18"/>
        <v>18614.875200000002</v>
      </c>
      <c r="AN17" s="1">
        <v>1.24</v>
      </c>
      <c r="AO17" s="21">
        <f t="shared" si="19"/>
        <v>50179.22880000001</v>
      </c>
      <c r="AP17" s="197"/>
      <c r="AQ17" s="21">
        <f t="shared" si="20"/>
        <v>0</v>
      </c>
      <c r="AR17" s="1"/>
      <c r="AS17" s="21">
        <f t="shared" si="21"/>
        <v>0</v>
      </c>
      <c r="AT17" s="1"/>
      <c r="AU17" s="21">
        <f t="shared" si="22"/>
        <v>0</v>
      </c>
      <c r="AV17" s="16"/>
    </row>
    <row r="18" spans="1:48" ht="12.75">
      <c r="A18" s="34">
        <f t="shared" si="0"/>
        <v>10</v>
      </c>
      <c r="B18" s="3" t="s">
        <v>10</v>
      </c>
      <c r="C18" s="80">
        <v>5245.9</v>
      </c>
      <c r="D18" s="5">
        <f t="shared" si="1"/>
        <v>6.0200000000000005</v>
      </c>
      <c r="E18" s="54">
        <f t="shared" si="2"/>
        <v>6.0200000000000005</v>
      </c>
      <c r="F18" s="7">
        <f t="shared" si="23"/>
        <v>2.18</v>
      </c>
      <c r="G18" s="2">
        <v>1.33</v>
      </c>
      <c r="H18" s="2">
        <f t="shared" si="24"/>
        <v>83724.564</v>
      </c>
      <c r="I18" s="2"/>
      <c r="J18" s="2">
        <f t="shared" si="3"/>
        <v>0</v>
      </c>
      <c r="K18" s="2"/>
      <c r="L18" s="2">
        <f t="shared" si="4"/>
        <v>0</v>
      </c>
      <c r="M18" s="2"/>
      <c r="N18" s="2">
        <f t="shared" si="5"/>
        <v>0</v>
      </c>
      <c r="O18" s="2">
        <v>0.5</v>
      </c>
      <c r="P18" s="2">
        <f t="shared" si="6"/>
        <v>31475.399999999998</v>
      </c>
      <c r="Q18" s="2"/>
      <c r="R18" s="2">
        <f t="shared" si="7"/>
        <v>0</v>
      </c>
      <c r="S18" s="21">
        <v>0.15</v>
      </c>
      <c r="T18" s="21">
        <f t="shared" si="8"/>
        <v>9442.619999999999</v>
      </c>
      <c r="U18" s="2">
        <v>0.2</v>
      </c>
      <c r="V18" s="21">
        <f t="shared" si="9"/>
        <v>12590.16</v>
      </c>
      <c r="W18" s="34">
        <f t="shared" si="10"/>
        <v>10</v>
      </c>
      <c r="X18" s="3" t="s">
        <v>10</v>
      </c>
      <c r="Y18" s="80">
        <v>5245.9</v>
      </c>
      <c r="Z18" s="32">
        <f t="shared" si="11"/>
        <v>3.44</v>
      </c>
      <c r="AA18" s="2">
        <v>1.25</v>
      </c>
      <c r="AB18" s="21">
        <f t="shared" si="12"/>
        <v>78688.5</v>
      </c>
      <c r="AC18" s="2">
        <v>0.71</v>
      </c>
      <c r="AD18" s="21">
        <f t="shared" si="13"/>
        <v>44695.06799999999</v>
      </c>
      <c r="AE18" s="2">
        <v>0.61</v>
      </c>
      <c r="AF18" s="21">
        <f t="shared" si="14"/>
        <v>38399.988</v>
      </c>
      <c r="AG18" s="2">
        <v>0.77</v>
      </c>
      <c r="AH18" s="21">
        <f t="shared" si="15"/>
        <v>48472.115999999995</v>
      </c>
      <c r="AI18" s="2">
        <v>0.1</v>
      </c>
      <c r="AJ18" s="21">
        <f t="shared" si="16"/>
        <v>6295.08</v>
      </c>
      <c r="AK18" s="32">
        <f t="shared" si="17"/>
        <v>0.4</v>
      </c>
      <c r="AL18" s="1">
        <v>0.3</v>
      </c>
      <c r="AM18" s="21">
        <f t="shared" si="18"/>
        <v>18885.239999999998</v>
      </c>
      <c r="AN18" s="1"/>
      <c r="AO18" s="21">
        <f t="shared" si="19"/>
        <v>0</v>
      </c>
      <c r="AP18" s="197"/>
      <c r="AQ18" s="21">
        <f t="shared" si="20"/>
        <v>0</v>
      </c>
      <c r="AR18" s="1">
        <v>0.1</v>
      </c>
      <c r="AS18" s="21">
        <f t="shared" si="21"/>
        <v>6295.08</v>
      </c>
      <c r="AT18" s="1"/>
      <c r="AU18" s="21">
        <f t="shared" si="22"/>
        <v>0</v>
      </c>
      <c r="AV18" s="16"/>
    </row>
    <row r="19" spans="1:48" ht="12.75">
      <c r="A19" s="34">
        <f t="shared" si="0"/>
        <v>11</v>
      </c>
      <c r="B19" s="3" t="s">
        <v>11</v>
      </c>
      <c r="C19" s="80">
        <v>2679.5</v>
      </c>
      <c r="D19" s="5">
        <f t="shared" si="1"/>
        <v>6.16</v>
      </c>
      <c r="E19" s="54">
        <f t="shared" si="2"/>
        <v>6.159999999999999</v>
      </c>
      <c r="F19" s="7">
        <f t="shared" si="23"/>
        <v>0.97</v>
      </c>
      <c r="G19" s="2"/>
      <c r="H19" s="2">
        <f t="shared" si="24"/>
        <v>0</v>
      </c>
      <c r="I19" s="2">
        <v>0.37</v>
      </c>
      <c r="J19" s="2">
        <f t="shared" si="3"/>
        <v>11896.98</v>
      </c>
      <c r="K19" s="2"/>
      <c r="L19" s="2">
        <f t="shared" si="4"/>
        <v>0</v>
      </c>
      <c r="M19" s="2"/>
      <c r="N19" s="2">
        <f t="shared" si="5"/>
        <v>0</v>
      </c>
      <c r="O19" s="2">
        <v>0.25</v>
      </c>
      <c r="P19" s="2">
        <f t="shared" si="6"/>
        <v>8038.5</v>
      </c>
      <c r="Q19" s="2"/>
      <c r="R19" s="2">
        <f t="shared" si="7"/>
        <v>0</v>
      </c>
      <c r="S19" s="21">
        <v>0.15</v>
      </c>
      <c r="T19" s="21">
        <f t="shared" si="8"/>
        <v>4823.1</v>
      </c>
      <c r="U19" s="2">
        <v>0.2</v>
      </c>
      <c r="V19" s="21">
        <f t="shared" si="9"/>
        <v>6430.799999999999</v>
      </c>
      <c r="W19" s="34">
        <f t="shared" si="10"/>
        <v>11</v>
      </c>
      <c r="X19" s="3" t="s">
        <v>11</v>
      </c>
      <c r="Y19" s="80">
        <v>2679.5</v>
      </c>
      <c r="Z19" s="32">
        <f t="shared" si="11"/>
        <v>4.420000000000001</v>
      </c>
      <c r="AA19" s="2">
        <v>1.32</v>
      </c>
      <c r="AB19" s="21">
        <f t="shared" si="12"/>
        <v>42443.28</v>
      </c>
      <c r="AC19" s="2">
        <v>1.5</v>
      </c>
      <c r="AD19" s="21">
        <f t="shared" si="13"/>
        <v>48231</v>
      </c>
      <c r="AE19" s="2">
        <v>0.9</v>
      </c>
      <c r="AF19" s="21">
        <f t="shared" si="14"/>
        <v>28938.600000000002</v>
      </c>
      <c r="AG19" s="2">
        <v>0.5</v>
      </c>
      <c r="AH19" s="21">
        <f t="shared" si="15"/>
        <v>16077</v>
      </c>
      <c r="AI19" s="2">
        <v>0.2</v>
      </c>
      <c r="AJ19" s="21">
        <f t="shared" si="16"/>
        <v>6430.799999999999</v>
      </c>
      <c r="AK19" s="32">
        <f t="shared" si="17"/>
        <v>0.77</v>
      </c>
      <c r="AL19" s="1">
        <v>0.59</v>
      </c>
      <c r="AM19" s="21">
        <f t="shared" si="18"/>
        <v>18970.86</v>
      </c>
      <c r="AN19" s="1"/>
      <c r="AO19" s="21">
        <f t="shared" si="19"/>
        <v>0</v>
      </c>
      <c r="AP19" s="197"/>
      <c r="AQ19" s="21">
        <f t="shared" si="20"/>
        <v>0</v>
      </c>
      <c r="AR19" s="1">
        <v>0.18</v>
      </c>
      <c r="AS19" s="21">
        <f t="shared" si="21"/>
        <v>5787.72</v>
      </c>
      <c r="AT19" s="1"/>
      <c r="AU19" s="21">
        <f t="shared" si="22"/>
        <v>0</v>
      </c>
      <c r="AV19" s="16"/>
    </row>
    <row r="20" spans="1:48" ht="12.75">
      <c r="A20" s="34">
        <f t="shared" si="0"/>
        <v>12</v>
      </c>
      <c r="B20" s="3" t="s">
        <v>12</v>
      </c>
      <c r="C20" s="80">
        <v>4911.8</v>
      </c>
      <c r="D20" s="5">
        <f t="shared" si="1"/>
        <v>6.12</v>
      </c>
      <c r="E20" s="54">
        <f t="shared" si="2"/>
        <v>6.120000000000001</v>
      </c>
      <c r="F20" s="7">
        <f t="shared" si="23"/>
        <v>1.2</v>
      </c>
      <c r="G20" s="2">
        <v>0.5</v>
      </c>
      <c r="H20" s="2">
        <f t="shared" si="24"/>
        <v>29470.800000000003</v>
      </c>
      <c r="I20" s="2">
        <v>0.3</v>
      </c>
      <c r="J20" s="2">
        <f t="shared" si="3"/>
        <v>17682.48</v>
      </c>
      <c r="K20" s="2"/>
      <c r="L20" s="2">
        <f t="shared" si="4"/>
        <v>0</v>
      </c>
      <c r="M20" s="37"/>
      <c r="N20" s="2">
        <f t="shared" si="5"/>
        <v>0</v>
      </c>
      <c r="O20" s="2"/>
      <c r="P20" s="2">
        <f t="shared" si="6"/>
        <v>0</v>
      </c>
      <c r="Q20" s="2"/>
      <c r="R20" s="2">
        <f t="shared" si="7"/>
        <v>0</v>
      </c>
      <c r="S20" s="21">
        <v>0.2</v>
      </c>
      <c r="T20" s="21">
        <f t="shared" si="8"/>
        <v>11788.320000000002</v>
      </c>
      <c r="U20" s="2">
        <v>0.2</v>
      </c>
      <c r="V20" s="21">
        <f t="shared" si="9"/>
        <v>11788.320000000002</v>
      </c>
      <c r="W20" s="34">
        <f t="shared" si="10"/>
        <v>12</v>
      </c>
      <c r="X20" s="3" t="s">
        <v>12</v>
      </c>
      <c r="Y20" s="80">
        <v>4911.8</v>
      </c>
      <c r="Z20" s="32">
        <f t="shared" si="11"/>
        <v>4.24</v>
      </c>
      <c r="AA20" s="2">
        <v>1.5</v>
      </c>
      <c r="AB20" s="21">
        <f t="shared" si="12"/>
        <v>88412.40000000001</v>
      </c>
      <c r="AC20" s="2">
        <v>1.3</v>
      </c>
      <c r="AD20" s="21">
        <f t="shared" si="13"/>
        <v>76624.08</v>
      </c>
      <c r="AE20" s="2">
        <v>0.62</v>
      </c>
      <c r="AF20" s="21">
        <f t="shared" si="14"/>
        <v>36543.792</v>
      </c>
      <c r="AG20" s="2">
        <v>0.62</v>
      </c>
      <c r="AH20" s="21">
        <f t="shared" si="15"/>
        <v>36543.792</v>
      </c>
      <c r="AI20" s="2">
        <v>0.2</v>
      </c>
      <c r="AJ20" s="21">
        <f t="shared" si="16"/>
        <v>11788.320000000002</v>
      </c>
      <c r="AK20" s="32">
        <f t="shared" si="17"/>
        <v>0.68</v>
      </c>
      <c r="AL20" s="1">
        <v>0.46</v>
      </c>
      <c r="AM20" s="21">
        <f t="shared" si="18"/>
        <v>27113.136000000006</v>
      </c>
      <c r="AN20" s="1"/>
      <c r="AO20" s="21">
        <f t="shared" si="19"/>
        <v>0</v>
      </c>
      <c r="AP20" s="197"/>
      <c r="AQ20" s="21">
        <f t="shared" si="20"/>
        <v>0</v>
      </c>
      <c r="AR20" s="1">
        <v>0.22</v>
      </c>
      <c r="AS20" s="21">
        <f t="shared" si="21"/>
        <v>12967.152</v>
      </c>
      <c r="AT20" s="1"/>
      <c r="AU20" s="21">
        <f t="shared" si="22"/>
        <v>0</v>
      </c>
      <c r="AV20" s="16"/>
    </row>
    <row r="21" spans="1:48" ht="12.75">
      <c r="A21" s="34">
        <f t="shared" si="0"/>
        <v>13</v>
      </c>
      <c r="B21" s="3" t="s">
        <v>13</v>
      </c>
      <c r="C21" s="80">
        <v>2667.6</v>
      </c>
      <c r="D21" s="5">
        <f t="shared" si="1"/>
        <v>6.1000000000000005</v>
      </c>
      <c r="E21" s="54">
        <f t="shared" si="2"/>
        <v>6.099999999999999</v>
      </c>
      <c r="F21" s="7">
        <f t="shared" si="23"/>
        <v>1.7999999999999998</v>
      </c>
      <c r="G21" s="2"/>
      <c r="H21" s="2">
        <f t="shared" si="24"/>
        <v>0</v>
      </c>
      <c r="I21" s="2">
        <v>0.9</v>
      </c>
      <c r="J21" s="2">
        <f t="shared" si="3"/>
        <v>28810.08</v>
      </c>
      <c r="K21" s="2"/>
      <c r="L21" s="2">
        <f t="shared" si="4"/>
        <v>0</v>
      </c>
      <c r="M21" s="37"/>
      <c r="N21" s="2">
        <f t="shared" si="5"/>
        <v>0</v>
      </c>
      <c r="O21" s="2">
        <v>0.5</v>
      </c>
      <c r="P21" s="2">
        <f t="shared" si="6"/>
        <v>16005.599999999999</v>
      </c>
      <c r="Q21" s="2"/>
      <c r="R21" s="2">
        <f t="shared" si="7"/>
        <v>0</v>
      </c>
      <c r="S21" s="21">
        <v>0.2</v>
      </c>
      <c r="T21" s="21">
        <f t="shared" si="8"/>
        <v>6402.24</v>
      </c>
      <c r="U21" s="2">
        <v>0.2</v>
      </c>
      <c r="V21" s="21">
        <f t="shared" si="9"/>
        <v>6402.24</v>
      </c>
      <c r="W21" s="34">
        <f t="shared" si="10"/>
        <v>13</v>
      </c>
      <c r="X21" s="3" t="s">
        <v>13</v>
      </c>
      <c r="Y21" s="80">
        <v>2667.6</v>
      </c>
      <c r="Z21" s="32">
        <f t="shared" si="11"/>
        <v>3.5800000000000005</v>
      </c>
      <c r="AA21" s="2">
        <v>0.95</v>
      </c>
      <c r="AB21" s="21">
        <f t="shared" si="12"/>
        <v>30410.64</v>
      </c>
      <c r="AC21" s="2">
        <v>1.5</v>
      </c>
      <c r="AD21" s="21">
        <f t="shared" si="13"/>
        <v>48016.799999999996</v>
      </c>
      <c r="AE21" s="2">
        <v>0.53</v>
      </c>
      <c r="AF21" s="21">
        <f t="shared" si="14"/>
        <v>16965.936</v>
      </c>
      <c r="AG21" s="2">
        <v>0.4</v>
      </c>
      <c r="AH21" s="21">
        <f t="shared" si="15"/>
        <v>12804.48</v>
      </c>
      <c r="AI21" s="2">
        <v>0.2</v>
      </c>
      <c r="AJ21" s="21">
        <f t="shared" si="16"/>
        <v>6402.24</v>
      </c>
      <c r="AK21" s="32">
        <f t="shared" si="17"/>
        <v>0.72</v>
      </c>
      <c r="AL21" s="1">
        <v>0.4</v>
      </c>
      <c r="AM21" s="21">
        <f t="shared" si="18"/>
        <v>12804.48</v>
      </c>
      <c r="AN21" s="1"/>
      <c r="AO21" s="21">
        <f t="shared" si="19"/>
        <v>0</v>
      </c>
      <c r="AP21" s="197"/>
      <c r="AQ21" s="21">
        <f t="shared" si="20"/>
        <v>0</v>
      </c>
      <c r="AR21" s="1">
        <v>0.32</v>
      </c>
      <c r="AS21" s="21">
        <f t="shared" si="21"/>
        <v>10243.583999999999</v>
      </c>
      <c r="AT21" s="1"/>
      <c r="AU21" s="21">
        <f t="shared" si="22"/>
        <v>0</v>
      </c>
      <c r="AV21" s="16"/>
    </row>
    <row r="22" spans="1:48" ht="12.75">
      <c r="A22" s="34">
        <f t="shared" si="0"/>
        <v>14</v>
      </c>
      <c r="B22" s="3" t="s">
        <v>14</v>
      </c>
      <c r="C22" s="80">
        <v>2631.6</v>
      </c>
      <c r="D22" s="5">
        <f t="shared" si="1"/>
        <v>6.200000000000001</v>
      </c>
      <c r="E22" s="54">
        <f t="shared" si="2"/>
        <v>6.2</v>
      </c>
      <c r="F22" s="7">
        <f t="shared" si="23"/>
        <v>1.3000000000000003</v>
      </c>
      <c r="G22" s="2">
        <v>0.6</v>
      </c>
      <c r="H22" s="2">
        <f t="shared" si="24"/>
        <v>18947.519999999997</v>
      </c>
      <c r="I22" s="2">
        <v>0.5</v>
      </c>
      <c r="J22" s="2">
        <f t="shared" si="3"/>
        <v>15789.599999999999</v>
      </c>
      <c r="K22" s="2"/>
      <c r="L22" s="2">
        <f t="shared" si="4"/>
        <v>0</v>
      </c>
      <c r="M22" s="2"/>
      <c r="N22" s="2">
        <f t="shared" si="5"/>
        <v>0</v>
      </c>
      <c r="O22" s="21"/>
      <c r="P22" s="2">
        <f t="shared" si="6"/>
        <v>0</v>
      </c>
      <c r="Q22" s="2"/>
      <c r="R22" s="2">
        <f t="shared" si="7"/>
        <v>0</v>
      </c>
      <c r="S22" s="21">
        <v>0.1</v>
      </c>
      <c r="T22" s="21">
        <f t="shared" si="8"/>
        <v>3157.92</v>
      </c>
      <c r="U22" s="2">
        <v>0.1</v>
      </c>
      <c r="V22" s="21">
        <f t="shared" si="9"/>
        <v>3157.92</v>
      </c>
      <c r="W22" s="34">
        <f t="shared" si="10"/>
        <v>14</v>
      </c>
      <c r="X22" s="3" t="s">
        <v>14</v>
      </c>
      <c r="Y22" s="80">
        <v>2631.6</v>
      </c>
      <c r="Z22" s="32">
        <f t="shared" si="11"/>
        <v>3.74</v>
      </c>
      <c r="AA22" s="2">
        <v>1.2</v>
      </c>
      <c r="AB22" s="21">
        <f t="shared" si="12"/>
        <v>37895.03999999999</v>
      </c>
      <c r="AC22" s="2">
        <v>0.97</v>
      </c>
      <c r="AD22" s="21">
        <f t="shared" si="13"/>
        <v>30631.824</v>
      </c>
      <c r="AE22" s="2">
        <v>0.87</v>
      </c>
      <c r="AF22" s="21">
        <f t="shared" si="14"/>
        <v>27473.903999999995</v>
      </c>
      <c r="AG22" s="2">
        <v>0.5</v>
      </c>
      <c r="AH22" s="21">
        <f t="shared" si="15"/>
        <v>15789.599999999999</v>
      </c>
      <c r="AI22" s="2">
        <v>0.2</v>
      </c>
      <c r="AJ22" s="21">
        <f t="shared" si="16"/>
        <v>6315.84</v>
      </c>
      <c r="AK22" s="32">
        <f t="shared" si="17"/>
        <v>1.1600000000000001</v>
      </c>
      <c r="AL22" s="1"/>
      <c r="AM22" s="21">
        <f t="shared" si="18"/>
        <v>0</v>
      </c>
      <c r="AN22" s="1">
        <v>1.03</v>
      </c>
      <c r="AO22" s="21">
        <f t="shared" si="19"/>
        <v>32526.575999999997</v>
      </c>
      <c r="AP22" s="197"/>
      <c r="AQ22" s="21">
        <f t="shared" si="20"/>
        <v>0</v>
      </c>
      <c r="AR22" s="1">
        <v>0.13</v>
      </c>
      <c r="AS22" s="21">
        <f t="shared" si="21"/>
        <v>4105.296</v>
      </c>
      <c r="AT22" s="5"/>
      <c r="AU22" s="21">
        <f t="shared" si="22"/>
        <v>0</v>
      </c>
      <c r="AV22" s="16"/>
    </row>
    <row r="23" spans="1:48" ht="12.75">
      <c r="A23" s="34">
        <f t="shared" si="0"/>
        <v>15</v>
      </c>
      <c r="B23" s="3" t="s">
        <v>117</v>
      </c>
      <c r="C23" s="80">
        <v>2154.4</v>
      </c>
      <c r="D23" s="5">
        <f t="shared" si="1"/>
        <v>7.049999999999999</v>
      </c>
      <c r="E23" s="54">
        <f t="shared" si="2"/>
        <v>6.849999999999999</v>
      </c>
      <c r="F23" s="7">
        <f t="shared" si="23"/>
        <v>6.049999999999999</v>
      </c>
      <c r="G23" s="2"/>
      <c r="H23" s="2">
        <f t="shared" si="24"/>
        <v>0</v>
      </c>
      <c r="I23" s="2"/>
      <c r="J23" s="2">
        <f t="shared" si="3"/>
        <v>0</v>
      </c>
      <c r="K23" s="2"/>
      <c r="L23" s="2">
        <f t="shared" si="4"/>
        <v>0</v>
      </c>
      <c r="M23" s="2">
        <v>5.85</v>
      </c>
      <c r="N23" s="2">
        <f t="shared" si="5"/>
        <v>151238.88</v>
      </c>
      <c r="O23" s="2"/>
      <c r="P23" s="2">
        <f t="shared" si="6"/>
        <v>0</v>
      </c>
      <c r="Q23" s="2"/>
      <c r="R23" s="2">
        <f t="shared" si="7"/>
        <v>0</v>
      </c>
      <c r="S23" s="21">
        <v>0.1</v>
      </c>
      <c r="T23" s="21">
        <f t="shared" si="8"/>
        <v>2585.28</v>
      </c>
      <c r="U23" s="2">
        <v>0.1</v>
      </c>
      <c r="V23" s="21">
        <f t="shared" si="9"/>
        <v>2585.28</v>
      </c>
      <c r="W23" s="34">
        <f t="shared" si="10"/>
        <v>15</v>
      </c>
      <c r="X23" s="3" t="s">
        <v>117</v>
      </c>
      <c r="Y23" s="80">
        <v>2154.4</v>
      </c>
      <c r="Z23" s="32">
        <f t="shared" si="11"/>
        <v>0.7999999999999999</v>
      </c>
      <c r="AA23" s="2">
        <v>0.2</v>
      </c>
      <c r="AB23" s="21">
        <v>0</v>
      </c>
      <c r="AC23" s="2">
        <v>0.2</v>
      </c>
      <c r="AD23" s="21">
        <f t="shared" si="13"/>
        <v>5170.56</v>
      </c>
      <c r="AE23" s="2">
        <v>0.1</v>
      </c>
      <c r="AF23" s="21">
        <f t="shared" si="14"/>
        <v>2585.28</v>
      </c>
      <c r="AG23" s="2">
        <v>0.2</v>
      </c>
      <c r="AH23" s="21">
        <f t="shared" si="15"/>
        <v>5170.56</v>
      </c>
      <c r="AI23" s="2">
        <v>0.1</v>
      </c>
      <c r="AJ23" s="21">
        <f t="shared" si="16"/>
        <v>2585.28</v>
      </c>
      <c r="AK23" s="32">
        <f t="shared" si="17"/>
        <v>0.2</v>
      </c>
      <c r="AL23" s="1"/>
      <c r="AM23" s="21">
        <f t="shared" si="18"/>
        <v>0</v>
      </c>
      <c r="AN23" s="1"/>
      <c r="AO23" s="21">
        <f t="shared" si="19"/>
        <v>0</v>
      </c>
      <c r="AP23" s="197"/>
      <c r="AQ23" s="21">
        <f t="shared" si="20"/>
        <v>0</v>
      </c>
      <c r="AR23" s="1">
        <v>0.2</v>
      </c>
      <c r="AS23" s="21">
        <f t="shared" si="21"/>
        <v>5170.56</v>
      </c>
      <c r="AT23" s="1"/>
      <c r="AU23" s="21">
        <f t="shared" si="22"/>
        <v>0</v>
      </c>
      <c r="AV23" s="16"/>
    </row>
    <row r="24" spans="1:48" ht="12.75">
      <c r="A24" s="34">
        <f t="shared" si="0"/>
        <v>16</v>
      </c>
      <c r="B24" s="3" t="s">
        <v>15</v>
      </c>
      <c r="C24" s="80">
        <v>4480.6</v>
      </c>
      <c r="D24" s="5">
        <f t="shared" si="1"/>
        <v>5.93</v>
      </c>
      <c r="E24" s="54">
        <f t="shared" si="2"/>
        <v>5.930000000000001</v>
      </c>
      <c r="F24" s="7">
        <f t="shared" si="23"/>
        <v>0.61</v>
      </c>
      <c r="G24" s="2"/>
      <c r="H24" s="2">
        <f t="shared" si="24"/>
        <v>0</v>
      </c>
      <c r="I24" s="2"/>
      <c r="J24" s="2">
        <f t="shared" si="3"/>
        <v>0</v>
      </c>
      <c r="K24" s="2"/>
      <c r="L24" s="2">
        <f t="shared" si="4"/>
        <v>0</v>
      </c>
      <c r="M24" s="2"/>
      <c r="N24" s="2">
        <f t="shared" si="5"/>
        <v>0</v>
      </c>
      <c r="O24" s="2">
        <v>0.41</v>
      </c>
      <c r="P24" s="2">
        <f t="shared" si="6"/>
        <v>22044.552</v>
      </c>
      <c r="Q24" s="2"/>
      <c r="R24" s="2">
        <f t="shared" si="7"/>
        <v>0</v>
      </c>
      <c r="S24" s="21">
        <v>0.1</v>
      </c>
      <c r="T24" s="21">
        <f t="shared" si="8"/>
        <v>5376.720000000001</v>
      </c>
      <c r="U24" s="2">
        <v>0.1</v>
      </c>
      <c r="V24" s="21">
        <f t="shared" si="9"/>
        <v>5376.720000000001</v>
      </c>
      <c r="W24" s="34">
        <f t="shared" si="10"/>
        <v>16</v>
      </c>
      <c r="X24" s="3" t="s">
        <v>15</v>
      </c>
      <c r="Y24" s="80">
        <v>4480.6</v>
      </c>
      <c r="Z24" s="32">
        <f t="shared" si="11"/>
        <v>3.0200000000000005</v>
      </c>
      <c r="AA24" s="2">
        <v>0.92</v>
      </c>
      <c r="AB24" s="21">
        <f t="shared" si="12"/>
        <v>49465.82400000001</v>
      </c>
      <c r="AC24" s="2">
        <v>0.6</v>
      </c>
      <c r="AD24" s="21">
        <f t="shared" si="13"/>
        <v>32260.32</v>
      </c>
      <c r="AE24" s="2">
        <v>0.5</v>
      </c>
      <c r="AF24" s="21">
        <f t="shared" si="14"/>
        <v>26883.600000000002</v>
      </c>
      <c r="AG24" s="2">
        <v>0.8</v>
      </c>
      <c r="AH24" s="21">
        <f t="shared" si="15"/>
        <v>43013.76000000001</v>
      </c>
      <c r="AI24" s="2">
        <v>0.2</v>
      </c>
      <c r="AJ24" s="21">
        <f t="shared" si="16"/>
        <v>10753.440000000002</v>
      </c>
      <c r="AK24" s="32">
        <f t="shared" si="17"/>
        <v>2.3</v>
      </c>
      <c r="AL24" s="1"/>
      <c r="AM24" s="21">
        <f t="shared" si="18"/>
        <v>0</v>
      </c>
      <c r="AN24" s="1">
        <v>2.3</v>
      </c>
      <c r="AO24" s="21">
        <f t="shared" si="19"/>
        <v>123664.56</v>
      </c>
      <c r="AP24" s="197"/>
      <c r="AQ24" s="21">
        <f t="shared" si="20"/>
        <v>0</v>
      </c>
      <c r="AR24" s="1"/>
      <c r="AS24" s="21">
        <f t="shared" si="21"/>
        <v>0</v>
      </c>
      <c r="AT24" s="1"/>
      <c r="AU24" s="21">
        <f t="shared" si="22"/>
        <v>0</v>
      </c>
      <c r="AV24" s="16"/>
    </row>
    <row r="25" spans="1:48" ht="12.75">
      <c r="A25" s="34">
        <f t="shared" si="0"/>
        <v>17</v>
      </c>
      <c r="B25" s="3" t="s">
        <v>16</v>
      </c>
      <c r="C25" s="80">
        <v>3376.3</v>
      </c>
      <c r="D25" s="5">
        <f t="shared" si="1"/>
        <v>6.130000000000001</v>
      </c>
      <c r="E25" s="54">
        <f t="shared" si="2"/>
        <v>6.129999999999999</v>
      </c>
      <c r="F25" s="7">
        <f t="shared" si="23"/>
        <v>2.4000000000000004</v>
      </c>
      <c r="G25" s="2">
        <v>0.5</v>
      </c>
      <c r="H25" s="2">
        <f t="shared" si="24"/>
        <v>20257.800000000003</v>
      </c>
      <c r="I25" s="2">
        <v>1.5</v>
      </c>
      <c r="J25" s="2">
        <f t="shared" si="3"/>
        <v>60773.40000000001</v>
      </c>
      <c r="K25" s="2"/>
      <c r="L25" s="2">
        <f t="shared" si="4"/>
        <v>0</v>
      </c>
      <c r="M25" s="2"/>
      <c r="N25" s="2">
        <f t="shared" si="5"/>
        <v>0</v>
      </c>
      <c r="O25" s="2">
        <v>0.2</v>
      </c>
      <c r="P25" s="2">
        <f t="shared" si="6"/>
        <v>8103.120000000001</v>
      </c>
      <c r="Q25" s="2"/>
      <c r="R25" s="2">
        <f t="shared" si="7"/>
        <v>0</v>
      </c>
      <c r="S25" s="21">
        <v>0.1</v>
      </c>
      <c r="T25" s="21">
        <f t="shared" si="8"/>
        <v>4051.5600000000004</v>
      </c>
      <c r="U25" s="2">
        <v>0.1</v>
      </c>
      <c r="V25" s="21">
        <f t="shared" si="9"/>
        <v>4051.5600000000004</v>
      </c>
      <c r="W25" s="34">
        <f t="shared" si="10"/>
        <v>17</v>
      </c>
      <c r="X25" s="3" t="s">
        <v>16</v>
      </c>
      <c r="Y25" s="80">
        <v>3376.3</v>
      </c>
      <c r="Z25" s="32">
        <f t="shared" si="11"/>
        <v>2.04</v>
      </c>
      <c r="AA25" s="2">
        <v>0.34</v>
      </c>
      <c r="AB25" s="21">
        <f t="shared" si="12"/>
        <v>13775.304000000004</v>
      </c>
      <c r="AC25" s="2">
        <v>0.6</v>
      </c>
      <c r="AD25" s="21">
        <f t="shared" si="13"/>
        <v>24309.36</v>
      </c>
      <c r="AE25" s="2">
        <v>0.4</v>
      </c>
      <c r="AF25" s="21">
        <f t="shared" si="14"/>
        <v>16206.240000000002</v>
      </c>
      <c r="AG25" s="2">
        <v>0.5</v>
      </c>
      <c r="AH25" s="21">
        <f t="shared" si="15"/>
        <v>20257.800000000003</v>
      </c>
      <c r="AI25" s="2">
        <v>0.2</v>
      </c>
      <c r="AJ25" s="21">
        <f t="shared" si="16"/>
        <v>8103.120000000001</v>
      </c>
      <c r="AK25" s="32">
        <f t="shared" si="17"/>
        <v>1.69</v>
      </c>
      <c r="AL25" s="1"/>
      <c r="AM25" s="21">
        <f t="shared" si="18"/>
        <v>0</v>
      </c>
      <c r="AN25" s="1">
        <v>1.49</v>
      </c>
      <c r="AO25" s="21">
        <f t="shared" si="19"/>
        <v>60368.244</v>
      </c>
      <c r="AP25" s="197"/>
      <c r="AQ25" s="21">
        <f t="shared" si="20"/>
        <v>0</v>
      </c>
      <c r="AR25" s="1">
        <v>0.2</v>
      </c>
      <c r="AS25" s="21">
        <f t="shared" si="21"/>
        <v>8103.120000000001</v>
      </c>
      <c r="AT25" s="1"/>
      <c r="AU25" s="21">
        <f t="shared" si="22"/>
        <v>0</v>
      </c>
      <c r="AV25" s="16"/>
    </row>
    <row r="26" spans="1:48" ht="12.75">
      <c r="A26" s="34">
        <f t="shared" si="0"/>
        <v>18</v>
      </c>
      <c r="B26" s="3" t="s">
        <v>17</v>
      </c>
      <c r="C26" s="80">
        <v>3348.3</v>
      </c>
      <c r="D26" s="5">
        <f t="shared" si="1"/>
        <v>6.42</v>
      </c>
      <c r="E26" s="54">
        <f t="shared" si="2"/>
        <v>6.419999999999999</v>
      </c>
      <c r="F26" s="7">
        <f t="shared" si="23"/>
        <v>2</v>
      </c>
      <c r="G26" s="2"/>
      <c r="H26" s="2">
        <f t="shared" si="24"/>
        <v>0</v>
      </c>
      <c r="I26" s="2">
        <v>1.5</v>
      </c>
      <c r="J26" s="2">
        <f t="shared" si="3"/>
        <v>60269.40000000001</v>
      </c>
      <c r="K26" s="2"/>
      <c r="L26" s="2">
        <f t="shared" si="4"/>
        <v>0</v>
      </c>
      <c r="M26" s="2"/>
      <c r="N26" s="2">
        <f t="shared" si="5"/>
        <v>0</v>
      </c>
      <c r="O26" s="2">
        <v>0.3</v>
      </c>
      <c r="P26" s="2">
        <f t="shared" si="6"/>
        <v>12053.880000000001</v>
      </c>
      <c r="Q26" s="2"/>
      <c r="R26" s="2">
        <f t="shared" si="7"/>
        <v>0</v>
      </c>
      <c r="S26" s="21">
        <v>0.1</v>
      </c>
      <c r="T26" s="21">
        <f t="shared" si="8"/>
        <v>4017.9600000000005</v>
      </c>
      <c r="U26" s="2">
        <v>0.1</v>
      </c>
      <c r="V26" s="21">
        <f t="shared" si="9"/>
        <v>4017.9600000000005</v>
      </c>
      <c r="W26" s="34">
        <f t="shared" si="10"/>
        <v>18</v>
      </c>
      <c r="X26" s="3" t="s">
        <v>17</v>
      </c>
      <c r="Y26" s="80">
        <v>3348.3</v>
      </c>
      <c r="Z26" s="32">
        <f t="shared" si="11"/>
        <v>2.3</v>
      </c>
      <c r="AA26" s="2">
        <v>0.8</v>
      </c>
      <c r="AB26" s="21">
        <f t="shared" si="12"/>
        <v>32143.680000000004</v>
      </c>
      <c r="AC26" s="2">
        <v>0.6</v>
      </c>
      <c r="AD26" s="21">
        <f t="shared" si="13"/>
        <v>24107.760000000002</v>
      </c>
      <c r="AE26" s="2">
        <v>0.4</v>
      </c>
      <c r="AF26" s="21">
        <f t="shared" si="14"/>
        <v>16071.840000000002</v>
      </c>
      <c r="AG26" s="2">
        <v>0.4</v>
      </c>
      <c r="AH26" s="21">
        <f t="shared" si="15"/>
        <v>16071.840000000002</v>
      </c>
      <c r="AI26" s="2">
        <v>0.1</v>
      </c>
      <c r="AJ26" s="21">
        <f t="shared" si="16"/>
        <v>4017.9600000000005</v>
      </c>
      <c r="AK26" s="32">
        <f t="shared" si="17"/>
        <v>2.12</v>
      </c>
      <c r="AL26" s="1"/>
      <c r="AM26" s="21">
        <f t="shared" si="18"/>
        <v>0</v>
      </c>
      <c r="AN26" s="1">
        <v>1.88</v>
      </c>
      <c r="AO26" s="21">
        <f t="shared" si="19"/>
        <v>75537.648</v>
      </c>
      <c r="AP26" s="197"/>
      <c r="AQ26" s="21">
        <f t="shared" si="20"/>
        <v>0</v>
      </c>
      <c r="AR26" s="1">
        <v>0.24</v>
      </c>
      <c r="AS26" s="21">
        <f t="shared" si="21"/>
        <v>9643.104</v>
      </c>
      <c r="AT26" s="1"/>
      <c r="AU26" s="21">
        <f t="shared" si="22"/>
        <v>0</v>
      </c>
      <c r="AV26" s="16"/>
    </row>
    <row r="27" spans="1:48" ht="12.75">
      <c r="A27" s="34">
        <f t="shared" si="0"/>
        <v>19</v>
      </c>
      <c r="B27" s="3" t="s">
        <v>18</v>
      </c>
      <c r="C27" s="80">
        <v>2654.8</v>
      </c>
      <c r="D27" s="5">
        <f t="shared" si="1"/>
        <v>7.039999999999999</v>
      </c>
      <c r="E27" s="54">
        <f t="shared" si="2"/>
        <v>7.04</v>
      </c>
      <c r="F27" s="7">
        <f t="shared" si="23"/>
        <v>5.739999999999999</v>
      </c>
      <c r="G27" s="2"/>
      <c r="H27" s="2">
        <f t="shared" si="24"/>
        <v>0</v>
      </c>
      <c r="I27" s="2">
        <v>1.3</v>
      </c>
      <c r="J27" s="2">
        <f t="shared" si="3"/>
        <v>41414.880000000005</v>
      </c>
      <c r="K27" s="2"/>
      <c r="L27" s="2">
        <f t="shared" si="4"/>
        <v>0</v>
      </c>
      <c r="M27" s="2">
        <v>4.24</v>
      </c>
      <c r="N27" s="2">
        <f t="shared" si="5"/>
        <v>135076.22400000002</v>
      </c>
      <c r="O27" s="2"/>
      <c r="P27" s="2">
        <f t="shared" si="6"/>
        <v>0</v>
      </c>
      <c r="Q27" s="2"/>
      <c r="R27" s="2">
        <f t="shared" si="7"/>
        <v>0</v>
      </c>
      <c r="S27" s="21">
        <v>0.1</v>
      </c>
      <c r="T27" s="21">
        <f t="shared" si="8"/>
        <v>3185.76</v>
      </c>
      <c r="U27" s="2">
        <v>0.1</v>
      </c>
      <c r="V27" s="21">
        <f t="shared" si="9"/>
        <v>3185.76</v>
      </c>
      <c r="W27" s="34">
        <f t="shared" si="10"/>
        <v>19</v>
      </c>
      <c r="X27" s="3" t="s">
        <v>18</v>
      </c>
      <c r="Y27" s="80">
        <v>2654.8</v>
      </c>
      <c r="Z27" s="32">
        <f t="shared" si="11"/>
        <v>1.3</v>
      </c>
      <c r="AA27" s="2">
        <v>0.5</v>
      </c>
      <c r="AB27" s="21">
        <f t="shared" si="12"/>
        <v>15928.800000000001</v>
      </c>
      <c r="AC27" s="2">
        <v>0.27</v>
      </c>
      <c r="AD27" s="21">
        <f t="shared" si="13"/>
        <v>8601.552</v>
      </c>
      <c r="AE27" s="2">
        <v>0.18</v>
      </c>
      <c r="AF27" s="21">
        <f t="shared" si="14"/>
        <v>5734.368</v>
      </c>
      <c r="AG27" s="2">
        <v>0.25</v>
      </c>
      <c r="AH27" s="21">
        <f t="shared" si="15"/>
        <v>7964.400000000001</v>
      </c>
      <c r="AI27" s="2">
        <v>0.1</v>
      </c>
      <c r="AJ27" s="21">
        <f t="shared" si="16"/>
        <v>3185.76</v>
      </c>
      <c r="AK27" s="32">
        <f t="shared" si="17"/>
        <v>0</v>
      </c>
      <c r="AL27" s="1"/>
      <c r="AM27" s="21">
        <f t="shared" si="18"/>
        <v>0</v>
      </c>
      <c r="AN27" s="1"/>
      <c r="AO27" s="21">
        <f t="shared" si="19"/>
        <v>0</v>
      </c>
      <c r="AP27" s="197"/>
      <c r="AQ27" s="21">
        <f t="shared" si="20"/>
        <v>0</v>
      </c>
      <c r="AR27" s="1"/>
      <c r="AS27" s="21">
        <f t="shared" si="21"/>
        <v>0</v>
      </c>
      <c r="AT27" s="1"/>
      <c r="AU27" s="21">
        <f t="shared" si="22"/>
        <v>0</v>
      </c>
      <c r="AV27" s="16"/>
    </row>
    <row r="28" spans="1:48" ht="12.75">
      <c r="A28" s="34">
        <f t="shared" si="0"/>
        <v>20</v>
      </c>
      <c r="B28" s="3" t="s">
        <v>19</v>
      </c>
      <c r="C28" s="80">
        <v>2631.7</v>
      </c>
      <c r="D28" s="5">
        <f t="shared" si="1"/>
        <v>6.24</v>
      </c>
      <c r="E28" s="54">
        <f t="shared" si="2"/>
        <v>6.240000000000001</v>
      </c>
      <c r="F28" s="7">
        <f t="shared" si="23"/>
        <v>1.2100000000000002</v>
      </c>
      <c r="G28" s="2">
        <v>0.2</v>
      </c>
      <c r="H28" s="2">
        <f t="shared" si="24"/>
        <v>6316.08</v>
      </c>
      <c r="I28" s="2">
        <v>0.62</v>
      </c>
      <c r="J28" s="2">
        <f t="shared" si="3"/>
        <v>19579.847999999998</v>
      </c>
      <c r="K28" s="2"/>
      <c r="L28" s="2">
        <f t="shared" si="4"/>
        <v>0</v>
      </c>
      <c r="M28" s="2"/>
      <c r="N28" s="2">
        <f t="shared" si="5"/>
        <v>0</v>
      </c>
      <c r="O28" s="2">
        <v>0.19</v>
      </c>
      <c r="P28" s="2">
        <f t="shared" si="6"/>
        <v>6000.276</v>
      </c>
      <c r="Q28" s="2"/>
      <c r="R28" s="2">
        <f t="shared" si="7"/>
        <v>0</v>
      </c>
      <c r="S28" s="21">
        <v>0.1</v>
      </c>
      <c r="T28" s="21">
        <f t="shared" si="8"/>
        <v>3158.04</v>
      </c>
      <c r="U28" s="2">
        <v>0.1</v>
      </c>
      <c r="V28" s="21">
        <f t="shared" si="9"/>
        <v>3158.04</v>
      </c>
      <c r="W28" s="34">
        <f t="shared" si="10"/>
        <v>20</v>
      </c>
      <c r="X28" s="3" t="s">
        <v>19</v>
      </c>
      <c r="Y28" s="80">
        <v>2631.7</v>
      </c>
      <c r="Z28" s="32">
        <f t="shared" si="11"/>
        <v>3.39</v>
      </c>
      <c r="AA28" s="2">
        <v>0.97</v>
      </c>
      <c r="AB28" s="21">
        <f t="shared" si="12"/>
        <v>30632.987999999998</v>
      </c>
      <c r="AC28" s="2">
        <v>0.72</v>
      </c>
      <c r="AD28" s="21">
        <f t="shared" si="13"/>
        <v>22737.888</v>
      </c>
      <c r="AE28" s="2">
        <v>0.8</v>
      </c>
      <c r="AF28" s="21">
        <f t="shared" si="14"/>
        <v>25264.32</v>
      </c>
      <c r="AG28" s="2">
        <v>0.8</v>
      </c>
      <c r="AH28" s="21">
        <f t="shared" si="15"/>
        <v>25264.32</v>
      </c>
      <c r="AI28" s="2">
        <v>0.1</v>
      </c>
      <c r="AJ28" s="21">
        <f t="shared" si="16"/>
        <v>3158.04</v>
      </c>
      <c r="AK28" s="32">
        <f t="shared" si="17"/>
        <v>1.6400000000000001</v>
      </c>
      <c r="AL28" s="1"/>
      <c r="AM28" s="21">
        <f t="shared" si="18"/>
        <v>0</v>
      </c>
      <c r="AN28" s="1">
        <v>1.34</v>
      </c>
      <c r="AO28" s="21">
        <f t="shared" si="19"/>
        <v>42317.736000000004</v>
      </c>
      <c r="AP28" s="197"/>
      <c r="AQ28" s="21">
        <f t="shared" si="20"/>
        <v>0</v>
      </c>
      <c r="AR28" s="1">
        <v>0.3</v>
      </c>
      <c r="AS28" s="21">
        <f t="shared" si="21"/>
        <v>9474.119999999999</v>
      </c>
      <c r="AT28" s="1"/>
      <c r="AU28" s="21">
        <f t="shared" si="22"/>
        <v>0</v>
      </c>
      <c r="AV28" s="16"/>
    </row>
    <row r="29" spans="1:48" ht="12.75">
      <c r="A29" s="34">
        <f t="shared" si="0"/>
        <v>21</v>
      </c>
      <c r="B29" s="3" t="s">
        <v>20</v>
      </c>
      <c r="C29" s="168">
        <v>2631</v>
      </c>
      <c r="D29" s="5">
        <f t="shared" si="1"/>
        <v>6.550000000000001</v>
      </c>
      <c r="E29" s="54">
        <f t="shared" si="2"/>
        <v>6.550000000000001</v>
      </c>
      <c r="F29" s="7">
        <f t="shared" si="23"/>
        <v>2.2100000000000004</v>
      </c>
      <c r="G29" s="2">
        <v>1.8</v>
      </c>
      <c r="H29" s="2">
        <f t="shared" si="24"/>
        <v>56829.600000000006</v>
      </c>
      <c r="I29" s="2"/>
      <c r="J29" s="2">
        <f t="shared" si="3"/>
        <v>0</v>
      </c>
      <c r="K29" s="2"/>
      <c r="L29" s="2">
        <f t="shared" si="4"/>
        <v>0</v>
      </c>
      <c r="M29" s="2"/>
      <c r="N29" s="2">
        <f t="shared" si="5"/>
        <v>0</v>
      </c>
      <c r="O29" s="2">
        <v>0.21</v>
      </c>
      <c r="P29" s="2">
        <f t="shared" si="6"/>
        <v>6630.12</v>
      </c>
      <c r="Q29" s="2"/>
      <c r="R29" s="2">
        <f t="shared" si="7"/>
        <v>0</v>
      </c>
      <c r="S29" s="21">
        <v>0.1</v>
      </c>
      <c r="T29" s="21">
        <f t="shared" si="8"/>
        <v>3157.2000000000003</v>
      </c>
      <c r="U29" s="2">
        <v>0.1</v>
      </c>
      <c r="V29" s="21">
        <f t="shared" si="9"/>
        <v>3157.2000000000003</v>
      </c>
      <c r="W29" s="34">
        <f t="shared" si="10"/>
        <v>21</v>
      </c>
      <c r="X29" s="3" t="s">
        <v>20</v>
      </c>
      <c r="Y29" s="168">
        <v>2631</v>
      </c>
      <c r="Z29" s="32">
        <f t="shared" si="11"/>
        <v>3.33</v>
      </c>
      <c r="AA29" s="2">
        <v>0.98</v>
      </c>
      <c r="AB29" s="21">
        <f t="shared" si="12"/>
        <v>30940.56</v>
      </c>
      <c r="AC29" s="2">
        <v>1.1</v>
      </c>
      <c r="AD29" s="21">
        <f t="shared" si="13"/>
        <v>34729.200000000004</v>
      </c>
      <c r="AE29" s="2">
        <v>0.75</v>
      </c>
      <c r="AF29" s="21">
        <f t="shared" si="14"/>
        <v>23679</v>
      </c>
      <c r="AG29" s="2">
        <v>0.3</v>
      </c>
      <c r="AH29" s="21">
        <f t="shared" si="15"/>
        <v>9471.599999999999</v>
      </c>
      <c r="AI29" s="2">
        <v>0.2</v>
      </c>
      <c r="AJ29" s="21">
        <f t="shared" si="16"/>
        <v>6314.400000000001</v>
      </c>
      <c r="AK29" s="32">
        <f t="shared" si="17"/>
        <v>1.01</v>
      </c>
      <c r="AL29" s="1">
        <v>0.43</v>
      </c>
      <c r="AM29" s="21">
        <f t="shared" si="18"/>
        <v>13575.96</v>
      </c>
      <c r="AN29" s="1"/>
      <c r="AO29" s="21">
        <f t="shared" si="19"/>
        <v>0</v>
      </c>
      <c r="AP29" s="197"/>
      <c r="AQ29" s="21">
        <f t="shared" si="20"/>
        <v>0</v>
      </c>
      <c r="AR29" s="1">
        <v>0.58</v>
      </c>
      <c r="AS29" s="21">
        <f t="shared" si="21"/>
        <v>18311.76</v>
      </c>
      <c r="AT29" s="1"/>
      <c r="AU29" s="21">
        <f t="shared" si="22"/>
        <v>0</v>
      </c>
      <c r="AV29" s="16"/>
    </row>
    <row r="30" spans="1:48" ht="12.75">
      <c r="A30" s="34">
        <f t="shared" si="0"/>
        <v>22</v>
      </c>
      <c r="B30" s="3" t="s">
        <v>21</v>
      </c>
      <c r="C30" s="80">
        <v>2678.4</v>
      </c>
      <c r="D30" s="5">
        <f t="shared" si="1"/>
        <v>6.409999999999999</v>
      </c>
      <c r="E30" s="54">
        <f t="shared" si="2"/>
        <v>6.41</v>
      </c>
      <c r="F30" s="7">
        <f t="shared" si="23"/>
        <v>4.21</v>
      </c>
      <c r="G30" s="2">
        <v>0.9</v>
      </c>
      <c r="H30" s="2">
        <f t="shared" si="24"/>
        <v>28926.72</v>
      </c>
      <c r="I30" s="2"/>
      <c r="J30" s="2">
        <f t="shared" si="3"/>
        <v>0</v>
      </c>
      <c r="K30" s="2">
        <v>2.76</v>
      </c>
      <c r="L30" s="2">
        <f t="shared" si="4"/>
        <v>88708.60800000001</v>
      </c>
      <c r="M30" s="2"/>
      <c r="N30" s="2">
        <f t="shared" si="5"/>
        <v>0</v>
      </c>
      <c r="O30" s="2">
        <v>0.3</v>
      </c>
      <c r="P30" s="2">
        <f t="shared" si="6"/>
        <v>9642.24</v>
      </c>
      <c r="Q30" s="2"/>
      <c r="R30" s="2">
        <f t="shared" si="7"/>
        <v>0</v>
      </c>
      <c r="S30" s="21">
        <v>0.1</v>
      </c>
      <c r="T30" s="21">
        <f t="shared" si="8"/>
        <v>3214.0800000000004</v>
      </c>
      <c r="U30" s="2">
        <v>0.15</v>
      </c>
      <c r="V30" s="21">
        <f t="shared" si="9"/>
        <v>4821.12</v>
      </c>
      <c r="W30" s="34">
        <f t="shared" si="10"/>
        <v>22</v>
      </c>
      <c r="X30" s="3" t="s">
        <v>21</v>
      </c>
      <c r="Y30" s="80">
        <v>2678.4</v>
      </c>
      <c r="Z30" s="32">
        <f t="shared" si="11"/>
        <v>1.9</v>
      </c>
      <c r="AA30" s="2">
        <v>0.7</v>
      </c>
      <c r="AB30" s="21">
        <f t="shared" si="12"/>
        <v>22498.559999999998</v>
      </c>
      <c r="AC30" s="2">
        <v>0.4</v>
      </c>
      <c r="AD30" s="21">
        <f t="shared" si="13"/>
        <v>12856.320000000002</v>
      </c>
      <c r="AE30" s="2">
        <v>0.4</v>
      </c>
      <c r="AF30" s="21">
        <f t="shared" si="14"/>
        <v>12856.320000000002</v>
      </c>
      <c r="AG30" s="2">
        <v>0.25</v>
      </c>
      <c r="AH30" s="21">
        <f t="shared" si="15"/>
        <v>8035.200000000001</v>
      </c>
      <c r="AI30" s="2">
        <v>0.15</v>
      </c>
      <c r="AJ30" s="21">
        <f t="shared" si="16"/>
        <v>4821.12</v>
      </c>
      <c r="AK30" s="32">
        <f t="shared" si="17"/>
        <v>0.3</v>
      </c>
      <c r="AL30" s="1"/>
      <c r="AM30" s="21">
        <f t="shared" si="18"/>
        <v>0</v>
      </c>
      <c r="AN30" s="1"/>
      <c r="AO30" s="21">
        <f t="shared" si="19"/>
        <v>0</v>
      </c>
      <c r="AP30" s="197"/>
      <c r="AQ30" s="21">
        <f t="shared" si="20"/>
        <v>0</v>
      </c>
      <c r="AR30" s="1">
        <v>0.3</v>
      </c>
      <c r="AS30" s="21">
        <f t="shared" si="21"/>
        <v>9642.24</v>
      </c>
      <c r="AT30" s="1"/>
      <c r="AU30" s="21">
        <f t="shared" si="22"/>
        <v>0</v>
      </c>
      <c r="AV30" s="16"/>
    </row>
    <row r="31" spans="1:48" ht="12.75">
      <c r="A31" s="34">
        <f t="shared" si="0"/>
        <v>23</v>
      </c>
      <c r="B31" s="3" t="s">
        <v>22</v>
      </c>
      <c r="C31" s="168">
        <v>6129.3</v>
      </c>
      <c r="D31" s="5">
        <f t="shared" si="1"/>
        <v>6.62</v>
      </c>
      <c r="E31" s="54">
        <f t="shared" si="2"/>
        <v>6.619999999999998</v>
      </c>
      <c r="F31" s="7">
        <f t="shared" si="23"/>
        <v>4.27</v>
      </c>
      <c r="G31" s="2"/>
      <c r="H31" s="2">
        <f t="shared" si="24"/>
        <v>0</v>
      </c>
      <c r="I31" s="2">
        <v>4.02</v>
      </c>
      <c r="J31" s="2">
        <f t="shared" si="3"/>
        <v>295677.432</v>
      </c>
      <c r="K31" s="2"/>
      <c r="L31" s="2">
        <f t="shared" si="4"/>
        <v>0</v>
      </c>
      <c r="M31" s="2"/>
      <c r="N31" s="2">
        <f t="shared" si="5"/>
        <v>0</v>
      </c>
      <c r="O31" s="2"/>
      <c r="P31" s="2">
        <f t="shared" si="6"/>
        <v>0</v>
      </c>
      <c r="Q31" s="2"/>
      <c r="R31" s="2">
        <f t="shared" si="7"/>
        <v>0</v>
      </c>
      <c r="S31" s="21">
        <v>0.1</v>
      </c>
      <c r="T31" s="21">
        <f t="shared" si="8"/>
        <v>7355.160000000001</v>
      </c>
      <c r="U31" s="2">
        <v>0.15</v>
      </c>
      <c r="V31" s="21">
        <f t="shared" si="9"/>
        <v>11032.74</v>
      </c>
      <c r="W31" s="34">
        <f t="shared" si="10"/>
        <v>23</v>
      </c>
      <c r="X31" s="3" t="s">
        <v>22</v>
      </c>
      <c r="Y31" s="168">
        <v>6129.3</v>
      </c>
      <c r="Z31" s="32">
        <f t="shared" si="11"/>
        <v>2.15</v>
      </c>
      <c r="AA31" s="2">
        <v>0.7</v>
      </c>
      <c r="AB31" s="21">
        <f t="shared" si="12"/>
        <v>51486.12</v>
      </c>
      <c r="AC31" s="2">
        <v>0.6</v>
      </c>
      <c r="AD31" s="21">
        <f t="shared" si="13"/>
        <v>44130.96</v>
      </c>
      <c r="AE31" s="2">
        <v>0.4</v>
      </c>
      <c r="AF31" s="21">
        <f t="shared" si="14"/>
        <v>29420.640000000003</v>
      </c>
      <c r="AG31" s="2">
        <v>0.3</v>
      </c>
      <c r="AH31" s="21">
        <f t="shared" si="15"/>
        <v>22065.48</v>
      </c>
      <c r="AI31" s="2">
        <v>0.15</v>
      </c>
      <c r="AJ31" s="21">
        <f t="shared" si="16"/>
        <v>11032.74</v>
      </c>
      <c r="AK31" s="32">
        <f t="shared" si="17"/>
        <v>0.2</v>
      </c>
      <c r="AL31" s="1"/>
      <c r="AM31" s="21">
        <f t="shared" si="18"/>
        <v>0</v>
      </c>
      <c r="AN31" s="1"/>
      <c r="AO31" s="21">
        <f t="shared" si="19"/>
        <v>0</v>
      </c>
      <c r="AP31" s="197"/>
      <c r="AQ31" s="21">
        <f t="shared" si="20"/>
        <v>0</v>
      </c>
      <c r="AR31" s="1">
        <v>0.2</v>
      </c>
      <c r="AS31" s="21">
        <f t="shared" si="21"/>
        <v>14710.320000000002</v>
      </c>
      <c r="AT31" s="1"/>
      <c r="AU31" s="21">
        <f t="shared" si="22"/>
        <v>0</v>
      </c>
      <c r="AV31" s="16"/>
    </row>
    <row r="32" spans="1:48" ht="12.75">
      <c r="A32" s="34">
        <f t="shared" si="0"/>
        <v>24</v>
      </c>
      <c r="B32" s="3" t="s">
        <v>232</v>
      </c>
      <c r="C32" s="43">
        <v>2386.3</v>
      </c>
      <c r="D32" s="5">
        <f t="shared" si="1"/>
        <v>5.16</v>
      </c>
      <c r="E32" s="54">
        <f t="shared" si="2"/>
        <v>5.159999999999998</v>
      </c>
      <c r="F32" s="7">
        <f t="shared" si="23"/>
        <v>3.93</v>
      </c>
      <c r="G32" s="2">
        <v>1.5</v>
      </c>
      <c r="H32" s="2">
        <f t="shared" si="24"/>
        <v>42953.4</v>
      </c>
      <c r="I32" s="2"/>
      <c r="J32" s="2">
        <f t="shared" si="3"/>
        <v>0</v>
      </c>
      <c r="K32" s="2"/>
      <c r="L32" s="2">
        <f t="shared" si="4"/>
        <v>0</v>
      </c>
      <c r="M32" s="2">
        <v>2.43</v>
      </c>
      <c r="N32" s="2">
        <f t="shared" si="5"/>
        <v>69584.508</v>
      </c>
      <c r="O32" s="2"/>
      <c r="P32" s="2">
        <f t="shared" si="6"/>
        <v>0</v>
      </c>
      <c r="Q32" s="2"/>
      <c r="R32" s="2">
        <f t="shared" si="7"/>
        <v>0</v>
      </c>
      <c r="S32" s="2"/>
      <c r="T32" s="21">
        <f t="shared" si="8"/>
        <v>0</v>
      </c>
      <c r="U32" s="190"/>
      <c r="V32" s="21">
        <f t="shared" si="9"/>
        <v>0</v>
      </c>
      <c r="W32" s="34">
        <f t="shared" si="10"/>
        <v>24</v>
      </c>
      <c r="X32" s="3" t="s">
        <v>232</v>
      </c>
      <c r="Y32" s="43">
        <v>2386.3</v>
      </c>
      <c r="Z32" s="32">
        <f t="shared" si="11"/>
        <v>1.23</v>
      </c>
      <c r="AA32" s="2">
        <v>0.3</v>
      </c>
      <c r="AB32" s="21">
        <f t="shared" si="12"/>
        <v>8590.68</v>
      </c>
      <c r="AC32" s="2">
        <v>0.4</v>
      </c>
      <c r="AD32" s="21">
        <f t="shared" si="13"/>
        <v>11454.240000000002</v>
      </c>
      <c r="AE32" s="2">
        <v>0.2</v>
      </c>
      <c r="AF32" s="21">
        <f t="shared" si="14"/>
        <v>5727.120000000001</v>
      </c>
      <c r="AG32" s="2">
        <v>0.2</v>
      </c>
      <c r="AH32" s="21">
        <f t="shared" si="15"/>
        <v>5727.120000000001</v>
      </c>
      <c r="AI32" s="2">
        <v>0.13</v>
      </c>
      <c r="AJ32" s="21">
        <f t="shared" si="16"/>
        <v>3722.6280000000006</v>
      </c>
      <c r="AK32" s="32">
        <f t="shared" si="17"/>
        <v>0</v>
      </c>
      <c r="AL32" s="190"/>
      <c r="AM32" s="21">
        <f t="shared" si="18"/>
        <v>0</v>
      </c>
      <c r="AN32" s="190"/>
      <c r="AO32" s="21">
        <f t="shared" si="19"/>
        <v>0</v>
      </c>
      <c r="AP32" s="190"/>
      <c r="AQ32" s="21">
        <f t="shared" si="20"/>
        <v>0</v>
      </c>
      <c r="AR32" s="190"/>
      <c r="AS32" s="21">
        <f t="shared" si="21"/>
        <v>0</v>
      </c>
      <c r="AT32" s="190"/>
      <c r="AU32" s="21">
        <f t="shared" si="22"/>
        <v>0</v>
      </c>
      <c r="AV32" s="16"/>
    </row>
    <row r="33" spans="1:48" ht="12.75">
      <c r="A33" s="34">
        <f t="shared" si="0"/>
        <v>25</v>
      </c>
      <c r="B33" s="3" t="s">
        <v>233</v>
      </c>
      <c r="C33" s="64">
        <v>2403.6</v>
      </c>
      <c r="D33" s="5">
        <f t="shared" si="1"/>
        <v>5.32</v>
      </c>
      <c r="E33" s="54">
        <f t="shared" si="2"/>
        <v>5.319999999999999</v>
      </c>
      <c r="F33" s="7">
        <f t="shared" si="23"/>
        <v>2.62</v>
      </c>
      <c r="G33" s="2">
        <v>1.72</v>
      </c>
      <c r="H33" s="2">
        <f t="shared" si="24"/>
        <v>49610.304000000004</v>
      </c>
      <c r="I33" s="2"/>
      <c r="J33" s="2">
        <f t="shared" si="3"/>
        <v>0</v>
      </c>
      <c r="K33" s="2"/>
      <c r="L33" s="2">
        <f t="shared" si="4"/>
        <v>0</v>
      </c>
      <c r="M33" s="2"/>
      <c r="N33" s="2">
        <f t="shared" si="5"/>
        <v>0</v>
      </c>
      <c r="O33" s="2">
        <v>0.6</v>
      </c>
      <c r="P33" s="2">
        <f t="shared" si="6"/>
        <v>17305.92</v>
      </c>
      <c r="Q33" s="2"/>
      <c r="R33" s="2">
        <f t="shared" si="7"/>
        <v>0</v>
      </c>
      <c r="S33" s="2">
        <v>0.1</v>
      </c>
      <c r="T33" s="21">
        <f t="shared" si="8"/>
        <v>2884.32</v>
      </c>
      <c r="U33" s="190">
        <v>0.2</v>
      </c>
      <c r="V33" s="21">
        <f t="shared" si="9"/>
        <v>5768.64</v>
      </c>
      <c r="W33" s="34">
        <f t="shared" si="10"/>
        <v>25</v>
      </c>
      <c r="X33" s="3" t="s">
        <v>233</v>
      </c>
      <c r="Y33" s="64">
        <v>2403.6</v>
      </c>
      <c r="Z33" s="32">
        <f t="shared" si="11"/>
        <v>2.7</v>
      </c>
      <c r="AA33" s="2">
        <v>0.9</v>
      </c>
      <c r="AB33" s="21">
        <f t="shared" si="12"/>
        <v>25958.879999999997</v>
      </c>
      <c r="AC33" s="2">
        <v>0.7</v>
      </c>
      <c r="AD33" s="21">
        <f t="shared" si="13"/>
        <v>20190.239999999998</v>
      </c>
      <c r="AE33" s="2">
        <v>0.3</v>
      </c>
      <c r="AF33" s="21">
        <f t="shared" si="14"/>
        <v>8652.96</v>
      </c>
      <c r="AG33" s="2">
        <v>0.5</v>
      </c>
      <c r="AH33" s="21">
        <f t="shared" si="15"/>
        <v>14421.599999999999</v>
      </c>
      <c r="AI33" s="2">
        <v>0.3</v>
      </c>
      <c r="AJ33" s="21">
        <f t="shared" si="16"/>
        <v>8652.96</v>
      </c>
      <c r="AK33" s="32">
        <f t="shared" si="17"/>
        <v>0</v>
      </c>
      <c r="AL33" s="190"/>
      <c r="AM33" s="21">
        <f t="shared" si="18"/>
        <v>0</v>
      </c>
      <c r="AN33" s="190"/>
      <c r="AO33" s="21">
        <f t="shared" si="19"/>
        <v>0</v>
      </c>
      <c r="AP33" s="190"/>
      <c r="AQ33" s="21">
        <f t="shared" si="20"/>
        <v>0</v>
      </c>
      <c r="AR33" s="190"/>
      <c r="AS33" s="21">
        <f t="shared" si="21"/>
        <v>0</v>
      </c>
      <c r="AT33" s="190"/>
      <c r="AU33" s="21">
        <f t="shared" si="22"/>
        <v>0</v>
      </c>
      <c r="AV33" s="16"/>
    </row>
    <row r="34" spans="1:48" ht="12.75">
      <c r="A34" s="34">
        <f t="shared" si="0"/>
        <v>26</v>
      </c>
      <c r="B34" s="3" t="s">
        <v>234</v>
      </c>
      <c r="C34" s="170">
        <v>4566.4</v>
      </c>
      <c r="D34" s="5">
        <f t="shared" si="1"/>
        <v>6.58</v>
      </c>
      <c r="E34" s="54">
        <f t="shared" si="2"/>
        <v>6.580000000000001</v>
      </c>
      <c r="F34" s="7">
        <f t="shared" si="23"/>
        <v>5.08</v>
      </c>
      <c r="G34" s="2">
        <v>4.38</v>
      </c>
      <c r="H34" s="2">
        <f t="shared" si="24"/>
        <v>240009.984</v>
      </c>
      <c r="I34" s="2"/>
      <c r="J34" s="2">
        <f t="shared" si="3"/>
        <v>0</v>
      </c>
      <c r="K34" s="2"/>
      <c r="L34" s="2">
        <f t="shared" si="4"/>
        <v>0</v>
      </c>
      <c r="M34" s="2"/>
      <c r="N34" s="2">
        <f t="shared" si="5"/>
        <v>0</v>
      </c>
      <c r="O34" s="2">
        <v>0.4</v>
      </c>
      <c r="P34" s="2">
        <f t="shared" si="6"/>
        <v>21918.72</v>
      </c>
      <c r="Q34" s="2"/>
      <c r="R34" s="2">
        <f t="shared" si="7"/>
        <v>0</v>
      </c>
      <c r="S34" s="2">
        <v>0.1</v>
      </c>
      <c r="T34" s="21">
        <f t="shared" si="8"/>
        <v>5479.68</v>
      </c>
      <c r="U34" s="190">
        <v>0.2</v>
      </c>
      <c r="V34" s="21">
        <f t="shared" si="9"/>
        <v>10959.36</v>
      </c>
      <c r="W34" s="34">
        <f t="shared" si="10"/>
        <v>26</v>
      </c>
      <c r="X34" s="3" t="s">
        <v>234</v>
      </c>
      <c r="Y34" s="170">
        <v>4566.4</v>
      </c>
      <c r="Z34" s="32">
        <f t="shared" si="11"/>
        <v>1.5000000000000002</v>
      </c>
      <c r="AA34" s="2">
        <v>0.5</v>
      </c>
      <c r="AB34" s="21">
        <f t="shared" si="12"/>
        <v>27398.399999999998</v>
      </c>
      <c r="AC34" s="2">
        <v>0.4</v>
      </c>
      <c r="AD34" s="21">
        <f t="shared" si="13"/>
        <v>21918.72</v>
      </c>
      <c r="AE34" s="2">
        <v>0.2</v>
      </c>
      <c r="AF34" s="21">
        <f t="shared" si="14"/>
        <v>10959.36</v>
      </c>
      <c r="AG34" s="2">
        <v>0.3</v>
      </c>
      <c r="AH34" s="21">
        <f t="shared" si="15"/>
        <v>16439.039999999997</v>
      </c>
      <c r="AI34" s="2">
        <v>0.1</v>
      </c>
      <c r="AJ34" s="21">
        <f t="shared" si="16"/>
        <v>5479.68</v>
      </c>
      <c r="AK34" s="32">
        <f t="shared" si="17"/>
        <v>0</v>
      </c>
      <c r="AL34" s="190"/>
      <c r="AM34" s="21">
        <f t="shared" si="18"/>
        <v>0</v>
      </c>
      <c r="AN34" s="190"/>
      <c r="AO34" s="21">
        <f t="shared" si="19"/>
        <v>0</v>
      </c>
      <c r="AP34" s="190"/>
      <c r="AQ34" s="21">
        <f t="shared" si="20"/>
        <v>0</v>
      </c>
      <c r="AR34" s="190"/>
      <c r="AS34" s="21">
        <f t="shared" si="21"/>
        <v>0</v>
      </c>
      <c r="AT34" s="190"/>
      <c r="AU34" s="21">
        <f t="shared" si="22"/>
        <v>0</v>
      </c>
      <c r="AV34" s="16"/>
    </row>
    <row r="35" spans="1:48" ht="12.75">
      <c r="A35" s="34">
        <f t="shared" si="0"/>
        <v>27</v>
      </c>
      <c r="B35" s="3" t="s">
        <v>118</v>
      </c>
      <c r="C35" s="170">
        <v>1474</v>
      </c>
      <c r="D35" s="5">
        <f t="shared" si="1"/>
        <v>4.25</v>
      </c>
      <c r="E35" s="54">
        <f t="shared" si="2"/>
        <v>4.25</v>
      </c>
      <c r="F35" s="7">
        <f t="shared" si="23"/>
        <v>1.2</v>
      </c>
      <c r="G35" s="2"/>
      <c r="H35" s="2">
        <f t="shared" si="24"/>
        <v>0</v>
      </c>
      <c r="I35" s="2"/>
      <c r="J35" s="2">
        <f t="shared" si="3"/>
        <v>0</v>
      </c>
      <c r="K35" s="2">
        <v>0.8</v>
      </c>
      <c r="L35" s="2">
        <f t="shared" si="4"/>
        <v>14150.400000000001</v>
      </c>
      <c r="M35" s="2"/>
      <c r="N35" s="2">
        <f t="shared" si="5"/>
        <v>0</v>
      </c>
      <c r="O35" s="2"/>
      <c r="P35" s="2">
        <f t="shared" si="6"/>
        <v>0</v>
      </c>
      <c r="Q35" s="2"/>
      <c r="R35" s="2">
        <f t="shared" si="7"/>
        <v>0</v>
      </c>
      <c r="S35" s="2">
        <v>0.2</v>
      </c>
      <c r="T35" s="21">
        <f t="shared" si="8"/>
        <v>3537.6000000000004</v>
      </c>
      <c r="U35" s="2">
        <v>0.2</v>
      </c>
      <c r="V35" s="21">
        <f t="shared" si="9"/>
        <v>3537.6000000000004</v>
      </c>
      <c r="W35" s="34">
        <f t="shared" si="10"/>
        <v>27</v>
      </c>
      <c r="X35" s="3" t="s">
        <v>118</v>
      </c>
      <c r="Y35" s="170">
        <v>1474</v>
      </c>
      <c r="Z35" s="32">
        <f t="shared" si="11"/>
        <v>3.0500000000000003</v>
      </c>
      <c r="AA35" s="2">
        <v>1.1</v>
      </c>
      <c r="AB35" s="21">
        <f t="shared" si="12"/>
        <v>19456.800000000003</v>
      </c>
      <c r="AC35" s="2">
        <v>0.75</v>
      </c>
      <c r="AD35" s="21">
        <f t="shared" si="13"/>
        <v>13266</v>
      </c>
      <c r="AE35" s="2">
        <v>0.2</v>
      </c>
      <c r="AF35" s="21">
        <f t="shared" si="14"/>
        <v>3537.6000000000004</v>
      </c>
      <c r="AG35" s="2">
        <v>0.9</v>
      </c>
      <c r="AH35" s="21">
        <f t="shared" si="15"/>
        <v>15919.2</v>
      </c>
      <c r="AI35" s="2">
        <v>0.1</v>
      </c>
      <c r="AJ35" s="21">
        <f t="shared" si="16"/>
        <v>1768.8000000000002</v>
      </c>
      <c r="AK35" s="32">
        <f t="shared" si="17"/>
        <v>0</v>
      </c>
      <c r="AL35" s="190"/>
      <c r="AM35" s="21">
        <f t="shared" si="18"/>
        <v>0</v>
      </c>
      <c r="AN35" s="190"/>
      <c r="AO35" s="21">
        <f t="shared" si="19"/>
        <v>0</v>
      </c>
      <c r="AP35" s="190"/>
      <c r="AQ35" s="21">
        <f t="shared" si="20"/>
        <v>0</v>
      </c>
      <c r="AR35" s="190"/>
      <c r="AS35" s="21">
        <f t="shared" si="21"/>
        <v>0</v>
      </c>
      <c r="AT35" s="190"/>
      <c r="AU35" s="21">
        <f t="shared" si="22"/>
        <v>0</v>
      </c>
      <c r="AV35" s="16"/>
    </row>
    <row r="36" spans="1:48" ht="12.75">
      <c r="A36" s="34">
        <f t="shared" si="0"/>
        <v>28</v>
      </c>
      <c r="B36" s="3" t="s">
        <v>119</v>
      </c>
      <c r="C36" s="170">
        <v>1462</v>
      </c>
      <c r="D36" s="5">
        <f t="shared" si="1"/>
        <v>4.800000000000001</v>
      </c>
      <c r="E36" s="54">
        <f t="shared" si="2"/>
        <v>4.800000000000001</v>
      </c>
      <c r="F36" s="7">
        <f t="shared" si="23"/>
        <v>3.3000000000000003</v>
      </c>
      <c r="G36" s="2"/>
      <c r="H36" s="2">
        <f t="shared" si="24"/>
        <v>0</v>
      </c>
      <c r="I36" s="2"/>
      <c r="J36" s="2">
        <f t="shared" si="3"/>
        <v>0</v>
      </c>
      <c r="K36" s="190"/>
      <c r="L36" s="2">
        <f t="shared" si="4"/>
        <v>0</v>
      </c>
      <c r="M36" s="2">
        <v>2.9</v>
      </c>
      <c r="N36" s="2">
        <f t="shared" si="5"/>
        <v>50877.600000000006</v>
      </c>
      <c r="O36" s="190"/>
      <c r="P36" s="2">
        <f t="shared" si="6"/>
        <v>0</v>
      </c>
      <c r="Q36" s="190"/>
      <c r="R36" s="2">
        <f t="shared" si="7"/>
        <v>0</v>
      </c>
      <c r="S36" s="2">
        <v>0.2</v>
      </c>
      <c r="T36" s="21">
        <f t="shared" si="8"/>
        <v>3508.8</v>
      </c>
      <c r="U36" s="2">
        <v>0.2</v>
      </c>
      <c r="V36" s="21">
        <f t="shared" si="9"/>
        <v>3508.8</v>
      </c>
      <c r="W36" s="34">
        <f t="shared" si="10"/>
        <v>28</v>
      </c>
      <c r="X36" s="3" t="s">
        <v>119</v>
      </c>
      <c r="Y36" s="170">
        <v>1462</v>
      </c>
      <c r="Z36" s="32">
        <f t="shared" si="11"/>
        <v>1.5</v>
      </c>
      <c r="AA36" s="2">
        <v>0.4</v>
      </c>
      <c r="AB36" s="21">
        <f t="shared" si="12"/>
        <v>7017.6</v>
      </c>
      <c r="AC36" s="2">
        <v>0.4</v>
      </c>
      <c r="AD36" s="21">
        <f t="shared" si="13"/>
        <v>7017.6</v>
      </c>
      <c r="AE36" s="2">
        <v>0.2</v>
      </c>
      <c r="AF36" s="21">
        <f t="shared" si="14"/>
        <v>3508.8</v>
      </c>
      <c r="AG36" s="2">
        <v>0.4</v>
      </c>
      <c r="AH36" s="21">
        <f t="shared" si="15"/>
        <v>7017.6</v>
      </c>
      <c r="AI36" s="2">
        <v>0.1</v>
      </c>
      <c r="AJ36" s="21">
        <f t="shared" si="16"/>
        <v>1754.4</v>
      </c>
      <c r="AK36" s="32">
        <f t="shared" si="17"/>
        <v>0</v>
      </c>
      <c r="AL36" s="190"/>
      <c r="AM36" s="21">
        <f t="shared" si="18"/>
        <v>0</v>
      </c>
      <c r="AN36" s="190"/>
      <c r="AO36" s="21">
        <f t="shared" si="19"/>
        <v>0</v>
      </c>
      <c r="AP36" s="190"/>
      <c r="AQ36" s="21">
        <f t="shared" si="20"/>
        <v>0</v>
      </c>
      <c r="AR36" s="190"/>
      <c r="AS36" s="21">
        <f t="shared" si="21"/>
        <v>0</v>
      </c>
      <c r="AT36" s="190"/>
      <c r="AU36" s="21">
        <f t="shared" si="22"/>
        <v>0</v>
      </c>
      <c r="AV36" s="16"/>
    </row>
    <row r="37" spans="1:48" ht="12.75">
      <c r="A37" s="34">
        <f t="shared" si="0"/>
        <v>29</v>
      </c>
      <c r="B37" s="3" t="s">
        <v>23</v>
      </c>
      <c r="C37" s="80">
        <v>4552.1</v>
      </c>
      <c r="D37" s="5">
        <f t="shared" si="1"/>
        <v>6.24</v>
      </c>
      <c r="E37" s="54">
        <f t="shared" si="2"/>
        <v>6.239999999999999</v>
      </c>
      <c r="F37" s="7">
        <f t="shared" si="23"/>
        <v>1.2</v>
      </c>
      <c r="G37" s="2">
        <v>0.5</v>
      </c>
      <c r="H37" s="2">
        <f t="shared" si="24"/>
        <v>27312.600000000002</v>
      </c>
      <c r="I37" s="2"/>
      <c r="J37" s="2">
        <f t="shared" si="3"/>
        <v>0</v>
      </c>
      <c r="K37" s="2"/>
      <c r="L37" s="2">
        <f t="shared" si="4"/>
        <v>0</v>
      </c>
      <c r="M37" s="2"/>
      <c r="N37" s="2">
        <f t="shared" si="5"/>
        <v>0</v>
      </c>
      <c r="O37" s="2">
        <v>0.4</v>
      </c>
      <c r="P37" s="2">
        <f t="shared" si="6"/>
        <v>21850.08</v>
      </c>
      <c r="Q37" s="2"/>
      <c r="R37" s="2">
        <f t="shared" si="7"/>
        <v>0</v>
      </c>
      <c r="S37" s="21">
        <v>0.1</v>
      </c>
      <c r="T37" s="21">
        <f t="shared" si="8"/>
        <v>5462.52</v>
      </c>
      <c r="U37" s="2">
        <v>0.2</v>
      </c>
      <c r="V37" s="21">
        <f t="shared" si="9"/>
        <v>10925.04</v>
      </c>
      <c r="W37" s="34">
        <f t="shared" si="10"/>
        <v>29</v>
      </c>
      <c r="X37" s="3" t="s">
        <v>23</v>
      </c>
      <c r="Y37" s="80">
        <v>4552.1</v>
      </c>
      <c r="Z37" s="32">
        <f t="shared" si="11"/>
        <v>3.25</v>
      </c>
      <c r="AA37" s="2">
        <v>1.1</v>
      </c>
      <c r="AB37" s="21">
        <f t="shared" si="12"/>
        <v>60087.72</v>
      </c>
      <c r="AC37" s="2">
        <v>0.75</v>
      </c>
      <c r="AD37" s="21">
        <f t="shared" si="13"/>
        <v>40968.9</v>
      </c>
      <c r="AE37" s="2">
        <v>0.7</v>
      </c>
      <c r="AF37" s="21">
        <f t="shared" si="14"/>
        <v>38237.64</v>
      </c>
      <c r="AG37" s="2">
        <v>0.5</v>
      </c>
      <c r="AH37" s="21">
        <f t="shared" si="15"/>
        <v>27312.600000000002</v>
      </c>
      <c r="AI37" s="2">
        <v>0.2</v>
      </c>
      <c r="AJ37" s="21">
        <f t="shared" si="16"/>
        <v>10925.04</v>
      </c>
      <c r="AK37" s="32">
        <f t="shared" si="17"/>
        <v>1.79</v>
      </c>
      <c r="AL37" s="1"/>
      <c r="AM37" s="21">
        <f t="shared" si="18"/>
        <v>0</v>
      </c>
      <c r="AN37" s="1">
        <v>1.79</v>
      </c>
      <c r="AO37" s="21">
        <f t="shared" si="19"/>
        <v>97779.10800000001</v>
      </c>
      <c r="AP37" s="197"/>
      <c r="AQ37" s="21">
        <f t="shared" si="20"/>
        <v>0</v>
      </c>
      <c r="AR37" s="1"/>
      <c r="AS37" s="21">
        <f t="shared" si="21"/>
        <v>0</v>
      </c>
      <c r="AT37" s="1"/>
      <c r="AU37" s="21">
        <f t="shared" si="22"/>
        <v>0</v>
      </c>
      <c r="AV37" s="16"/>
    </row>
    <row r="38" spans="1:48" ht="12.75">
      <c r="A38" s="34">
        <f t="shared" si="0"/>
        <v>30</v>
      </c>
      <c r="B38" s="3" t="s">
        <v>24</v>
      </c>
      <c r="C38" s="80">
        <v>7573.69</v>
      </c>
      <c r="D38" s="5">
        <f t="shared" si="1"/>
        <v>6.15</v>
      </c>
      <c r="E38" s="54">
        <f t="shared" si="2"/>
        <v>6.1499999999999995</v>
      </c>
      <c r="F38" s="7">
        <f t="shared" si="23"/>
        <v>1.4000000000000001</v>
      </c>
      <c r="G38" s="2">
        <v>0.9</v>
      </c>
      <c r="H38" s="2">
        <f t="shared" si="24"/>
        <v>81795.852</v>
      </c>
      <c r="I38" s="2"/>
      <c r="J38" s="2">
        <f t="shared" si="3"/>
        <v>0</v>
      </c>
      <c r="K38" s="2"/>
      <c r="L38" s="2">
        <f t="shared" si="4"/>
        <v>0</v>
      </c>
      <c r="M38" s="2"/>
      <c r="N38" s="2">
        <f t="shared" si="5"/>
        <v>0</v>
      </c>
      <c r="O38" s="2">
        <v>0.2</v>
      </c>
      <c r="P38" s="2">
        <f t="shared" si="6"/>
        <v>18176.856</v>
      </c>
      <c r="Q38" s="2"/>
      <c r="R38" s="2">
        <f t="shared" si="7"/>
        <v>0</v>
      </c>
      <c r="S38" s="21">
        <v>0.1</v>
      </c>
      <c r="T38" s="21">
        <f t="shared" si="8"/>
        <v>9088.428</v>
      </c>
      <c r="U38" s="2">
        <v>0.2</v>
      </c>
      <c r="V38" s="21">
        <f t="shared" si="9"/>
        <v>18176.856</v>
      </c>
      <c r="W38" s="34">
        <f t="shared" si="10"/>
        <v>30</v>
      </c>
      <c r="X38" s="3" t="s">
        <v>24</v>
      </c>
      <c r="Y38" s="80">
        <v>7573.69</v>
      </c>
      <c r="Z38" s="32">
        <f t="shared" si="11"/>
        <v>4.65</v>
      </c>
      <c r="AA38" s="2">
        <v>1.15</v>
      </c>
      <c r="AB38" s="21">
        <f t="shared" si="12"/>
        <v>104516.92199999999</v>
      </c>
      <c r="AC38" s="2">
        <v>1</v>
      </c>
      <c r="AD38" s="21">
        <f t="shared" si="13"/>
        <v>90884.28</v>
      </c>
      <c r="AE38" s="2">
        <v>0.8</v>
      </c>
      <c r="AF38" s="21">
        <f t="shared" si="14"/>
        <v>72707.424</v>
      </c>
      <c r="AG38" s="2">
        <v>1.5</v>
      </c>
      <c r="AH38" s="21">
        <f t="shared" si="15"/>
        <v>136326.41999999998</v>
      </c>
      <c r="AI38" s="2">
        <v>0.2</v>
      </c>
      <c r="AJ38" s="21">
        <f t="shared" si="16"/>
        <v>18176.856</v>
      </c>
      <c r="AK38" s="32">
        <f t="shared" si="17"/>
        <v>0.1</v>
      </c>
      <c r="AL38" s="1"/>
      <c r="AM38" s="21">
        <f t="shared" si="18"/>
        <v>0</v>
      </c>
      <c r="AN38" s="1"/>
      <c r="AO38" s="21">
        <f t="shared" si="19"/>
        <v>0</v>
      </c>
      <c r="AP38" s="197"/>
      <c r="AQ38" s="21">
        <f t="shared" si="20"/>
        <v>0</v>
      </c>
      <c r="AR38" s="1">
        <v>0.1</v>
      </c>
      <c r="AS38" s="21">
        <f t="shared" si="21"/>
        <v>9088.428</v>
      </c>
      <c r="AT38" s="1"/>
      <c r="AU38" s="21">
        <f t="shared" si="22"/>
        <v>0</v>
      </c>
      <c r="AV38" s="16"/>
    </row>
    <row r="39" spans="1:48" ht="12.75">
      <c r="A39" s="34">
        <f t="shared" si="0"/>
        <v>31</v>
      </c>
      <c r="B39" s="3" t="s">
        <v>25</v>
      </c>
      <c r="C39" s="80">
        <v>3380.8</v>
      </c>
      <c r="D39" s="5">
        <f t="shared" si="1"/>
        <v>6.75</v>
      </c>
      <c r="E39" s="54">
        <f t="shared" si="2"/>
        <v>6.749999999999999</v>
      </c>
      <c r="F39" s="7">
        <f t="shared" si="23"/>
        <v>4.15</v>
      </c>
      <c r="G39" s="2">
        <v>0.4</v>
      </c>
      <c r="H39" s="2">
        <f t="shared" si="24"/>
        <v>16227.840000000002</v>
      </c>
      <c r="I39" s="2"/>
      <c r="J39" s="2">
        <f t="shared" si="3"/>
        <v>0</v>
      </c>
      <c r="K39" s="2"/>
      <c r="L39" s="2">
        <f t="shared" si="4"/>
        <v>0</v>
      </c>
      <c r="M39" s="2">
        <v>3.5</v>
      </c>
      <c r="N39" s="2">
        <f t="shared" si="5"/>
        <v>141993.6</v>
      </c>
      <c r="O39" s="2"/>
      <c r="P39" s="2">
        <f t="shared" si="6"/>
        <v>0</v>
      </c>
      <c r="Q39" s="2"/>
      <c r="R39" s="2">
        <f t="shared" si="7"/>
        <v>0</v>
      </c>
      <c r="S39" s="21">
        <v>0.1</v>
      </c>
      <c r="T39" s="21">
        <f t="shared" si="8"/>
        <v>4056.9600000000005</v>
      </c>
      <c r="U39" s="2">
        <v>0.15</v>
      </c>
      <c r="V39" s="21">
        <f t="shared" si="9"/>
        <v>6085.4400000000005</v>
      </c>
      <c r="W39" s="34">
        <f t="shared" si="10"/>
        <v>31</v>
      </c>
      <c r="X39" s="3" t="s">
        <v>25</v>
      </c>
      <c r="Y39" s="80">
        <v>3380.8</v>
      </c>
      <c r="Z39" s="32">
        <f t="shared" si="11"/>
        <v>2.6</v>
      </c>
      <c r="AA39" s="2">
        <v>0.7</v>
      </c>
      <c r="AB39" s="21">
        <f t="shared" si="12"/>
        <v>28398.72</v>
      </c>
      <c r="AC39" s="2">
        <v>0.8</v>
      </c>
      <c r="AD39" s="21">
        <f t="shared" si="13"/>
        <v>32455.680000000004</v>
      </c>
      <c r="AE39" s="2">
        <v>0.4</v>
      </c>
      <c r="AF39" s="21">
        <f t="shared" si="14"/>
        <v>16227.840000000002</v>
      </c>
      <c r="AG39" s="2">
        <v>0.5</v>
      </c>
      <c r="AH39" s="21">
        <f t="shared" si="15"/>
        <v>20284.800000000003</v>
      </c>
      <c r="AI39" s="2">
        <v>0.2</v>
      </c>
      <c r="AJ39" s="21">
        <f t="shared" si="16"/>
        <v>8113.920000000001</v>
      </c>
      <c r="AK39" s="32">
        <f t="shared" si="17"/>
        <v>0</v>
      </c>
      <c r="AL39" s="1"/>
      <c r="AM39" s="21">
        <f t="shared" si="18"/>
        <v>0</v>
      </c>
      <c r="AN39" s="1"/>
      <c r="AO39" s="21">
        <f t="shared" si="19"/>
        <v>0</v>
      </c>
      <c r="AP39" s="197"/>
      <c r="AQ39" s="21">
        <f t="shared" si="20"/>
        <v>0</v>
      </c>
      <c r="AR39" s="1"/>
      <c r="AS39" s="21">
        <f t="shared" si="21"/>
        <v>0</v>
      </c>
      <c r="AT39" s="1"/>
      <c r="AU39" s="21">
        <f t="shared" si="22"/>
        <v>0</v>
      </c>
      <c r="AV39" s="16"/>
    </row>
    <row r="40" spans="1:48" ht="12.75">
      <c r="A40" s="34">
        <f t="shared" si="0"/>
        <v>32</v>
      </c>
      <c r="B40" s="3" t="s">
        <v>26</v>
      </c>
      <c r="C40" s="80">
        <v>3433.08</v>
      </c>
      <c r="D40" s="5">
        <f t="shared" si="1"/>
        <v>6.52</v>
      </c>
      <c r="E40" s="54">
        <f t="shared" si="2"/>
        <v>6.5200000000000005</v>
      </c>
      <c r="F40" s="7">
        <f t="shared" si="23"/>
        <v>0.8</v>
      </c>
      <c r="G40" s="2">
        <v>0.5</v>
      </c>
      <c r="H40" s="2">
        <f t="shared" si="24"/>
        <v>20598.48</v>
      </c>
      <c r="I40" s="2"/>
      <c r="J40" s="2">
        <f t="shared" si="3"/>
        <v>0</v>
      </c>
      <c r="K40" s="2"/>
      <c r="L40" s="2">
        <f t="shared" si="4"/>
        <v>0</v>
      </c>
      <c r="M40" s="2"/>
      <c r="N40" s="2">
        <f t="shared" si="5"/>
        <v>0</v>
      </c>
      <c r="O40" s="2"/>
      <c r="P40" s="2">
        <f t="shared" si="6"/>
        <v>0</v>
      </c>
      <c r="Q40" s="2"/>
      <c r="R40" s="2">
        <f t="shared" si="7"/>
        <v>0</v>
      </c>
      <c r="S40" s="21">
        <v>0.1</v>
      </c>
      <c r="T40" s="21">
        <f t="shared" si="8"/>
        <v>4119.696</v>
      </c>
      <c r="U40" s="2">
        <v>0.2</v>
      </c>
      <c r="V40" s="21">
        <f t="shared" si="9"/>
        <v>8239.392</v>
      </c>
      <c r="W40" s="34">
        <f t="shared" si="10"/>
        <v>32</v>
      </c>
      <c r="X40" s="3" t="s">
        <v>26</v>
      </c>
      <c r="Y40" s="80">
        <v>3433.08</v>
      </c>
      <c r="Z40" s="32">
        <f t="shared" si="11"/>
        <v>2.2</v>
      </c>
      <c r="AA40" s="2">
        <v>0.7</v>
      </c>
      <c r="AB40" s="21">
        <f t="shared" si="12"/>
        <v>28837.872</v>
      </c>
      <c r="AC40" s="2">
        <v>0.5</v>
      </c>
      <c r="AD40" s="21">
        <f t="shared" si="13"/>
        <v>20598.48</v>
      </c>
      <c r="AE40" s="2">
        <v>0.5</v>
      </c>
      <c r="AF40" s="21">
        <f t="shared" si="14"/>
        <v>20598.48</v>
      </c>
      <c r="AG40" s="2">
        <v>0.3</v>
      </c>
      <c r="AH40" s="21">
        <f t="shared" si="15"/>
        <v>12359.088</v>
      </c>
      <c r="AI40" s="2">
        <v>0.2</v>
      </c>
      <c r="AJ40" s="21">
        <f t="shared" si="16"/>
        <v>8239.392</v>
      </c>
      <c r="AK40" s="32">
        <f t="shared" si="17"/>
        <v>3.52</v>
      </c>
      <c r="AL40" s="1"/>
      <c r="AM40" s="21">
        <f t="shared" si="18"/>
        <v>0</v>
      </c>
      <c r="AN40" s="1">
        <v>3.22</v>
      </c>
      <c r="AO40" s="21">
        <f t="shared" si="19"/>
        <v>132654.21120000002</v>
      </c>
      <c r="AP40" s="197"/>
      <c r="AQ40" s="21">
        <f t="shared" si="20"/>
        <v>0</v>
      </c>
      <c r="AR40" s="1">
        <v>0.3</v>
      </c>
      <c r="AS40" s="21">
        <f t="shared" si="21"/>
        <v>12359.088</v>
      </c>
      <c r="AT40" s="1"/>
      <c r="AU40" s="21">
        <f t="shared" si="22"/>
        <v>0</v>
      </c>
      <c r="AV40" s="16"/>
    </row>
    <row r="41" spans="1:48" ht="12.75">
      <c r="A41" s="34">
        <f t="shared" si="0"/>
        <v>33</v>
      </c>
      <c r="B41" s="3" t="s">
        <v>123</v>
      </c>
      <c r="C41" s="168">
        <v>2797.2</v>
      </c>
      <c r="D41" s="5">
        <f t="shared" si="1"/>
        <v>6.59</v>
      </c>
      <c r="E41" s="54">
        <f t="shared" si="2"/>
        <v>6.590000000000001</v>
      </c>
      <c r="F41" s="7">
        <f aca="true" t="shared" si="25" ref="F41:F57">G41+I41+K41+M41+O41+Q41+S41+U41</f>
        <v>3.5900000000000003</v>
      </c>
      <c r="G41" s="2">
        <v>0.9</v>
      </c>
      <c r="H41" s="2">
        <f t="shared" si="24"/>
        <v>30209.760000000002</v>
      </c>
      <c r="I41" s="2">
        <v>2.24</v>
      </c>
      <c r="J41" s="2">
        <f t="shared" si="3"/>
        <v>75188.736</v>
      </c>
      <c r="K41" s="2"/>
      <c r="L41" s="2">
        <f t="shared" si="4"/>
        <v>0</v>
      </c>
      <c r="M41" s="2"/>
      <c r="N41" s="2">
        <f t="shared" si="5"/>
        <v>0</v>
      </c>
      <c r="O41" s="2">
        <v>0.2</v>
      </c>
      <c r="P41" s="2">
        <f t="shared" si="6"/>
        <v>6713.279999999999</v>
      </c>
      <c r="Q41" s="2"/>
      <c r="R41" s="2">
        <f t="shared" si="7"/>
        <v>0</v>
      </c>
      <c r="S41" s="21">
        <v>0.1</v>
      </c>
      <c r="T41" s="21">
        <f t="shared" si="8"/>
        <v>3356.6399999999994</v>
      </c>
      <c r="U41" s="2">
        <v>0.15</v>
      </c>
      <c r="V41" s="21">
        <f t="shared" si="9"/>
        <v>5034.96</v>
      </c>
      <c r="W41" s="34">
        <f t="shared" si="10"/>
        <v>33</v>
      </c>
      <c r="X41" s="3" t="s">
        <v>123</v>
      </c>
      <c r="Y41" s="168">
        <v>2797.2</v>
      </c>
      <c r="Z41" s="32">
        <f t="shared" si="11"/>
        <v>3</v>
      </c>
      <c r="AA41" s="2">
        <v>0.9</v>
      </c>
      <c r="AB41" s="21">
        <f t="shared" si="12"/>
        <v>30209.760000000002</v>
      </c>
      <c r="AC41" s="2">
        <v>1</v>
      </c>
      <c r="AD41" s="21">
        <f t="shared" si="13"/>
        <v>33566.399999999994</v>
      </c>
      <c r="AE41" s="2">
        <v>0.5</v>
      </c>
      <c r="AF41" s="21">
        <f t="shared" si="14"/>
        <v>16783.199999999997</v>
      </c>
      <c r="AG41" s="2">
        <v>0.4</v>
      </c>
      <c r="AH41" s="21">
        <f t="shared" si="15"/>
        <v>13426.559999999998</v>
      </c>
      <c r="AI41" s="2">
        <v>0.2</v>
      </c>
      <c r="AJ41" s="21">
        <f t="shared" si="16"/>
        <v>6713.279999999999</v>
      </c>
      <c r="AK41" s="32">
        <f t="shared" si="17"/>
        <v>0</v>
      </c>
      <c r="AL41" s="1"/>
      <c r="AM41" s="21">
        <f t="shared" si="18"/>
        <v>0</v>
      </c>
      <c r="AN41" s="1"/>
      <c r="AO41" s="21">
        <f t="shared" si="19"/>
        <v>0</v>
      </c>
      <c r="AP41" s="197"/>
      <c r="AQ41" s="21">
        <f t="shared" si="20"/>
        <v>0</v>
      </c>
      <c r="AR41" s="1"/>
      <c r="AS41" s="21">
        <f t="shared" si="21"/>
        <v>0</v>
      </c>
      <c r="AT41" s="1"/>
      <c r="AU41" s="21">
        <f t="shared" si="22"/>
        <v>0</v>
      </c>
      <c r="AV41" s="16"/>
    </row>
    <row r="42" spans="1:48" ht="12.75">
      <c r="A42" s="34">
        <f t="shared" si="0"/>
        <v>34</v>
      </c>
      <c r="B42" s="3" t="s">
        <v>124</v>
      </c>
      <c r="C42" s="80">
        <v>3385.6</v>
      </c>
      <c r="D42" s="5">
        <f t="shared" si="1"/>
        <v>6.260000000000001</v>
      </c>
      <c r="E42" s="54">
        <f t="shared" si="2"/>
        <v>6.260000000000001</v>
      </c>
      <c r="F42" s="7">
        <f t="shared" si="25"/>
        <v>0.7999999999999999</v>
      </c>
      <c r="G42" s="2"/>
      <c r="H42" s="2">
        <f t="shared" si="24"/>
        <v>0</v>
      </c>
      <c r="I42" s="2">
        <v>0.6</v>
      </c>
      <c r="J42" s="2">
        <f t="shared" si="3"/>
        <v>24376.32</v>
      </c>
      <c r="K42" s="2"/>
      <c r="L42" s="2">
        <f t="shared" si="4"/>
        <v>0</v>
      </c>
      <c r="M42" s="2"/>
      <c r="N42" s="2">
        <f t="shared" si="5"/>
        <v>0</v>
      </c>
      <c r="O42" s="2"/>
      <c r="P42" s="2">
        <f t="shared" si="6"/>
        <v>0</v>
      </c>
      <c r="Q42" s="2"/>
      <c r="R42" s="2">
        <f t="shared" si="7"/>
        <v>0</v>
      </c>
      <c r="S42" s="21">
        <v>0.1</v>
      </c>
      <c r="T42" s="21">
        <f t="shared" si="8"/>
        <v>4062.7200000000003</v>
      </c>
      <c r="U42" s="2">
        <v>0.1</v>
      </c>
      <c r="V42" s="21">
        <f t="shared" si="9"/>
        <v>4062.7200000000003</v>
      </c>
      <c r="W42" s="34">
        <f t="shared" si="10"/>
        <v>34</v>
      </c>
      <c r="X42" s="3" t="s">
        <v>124</v>
      </c>
      <c r="Y42" s="80">
        <v>3385.6</v>
      </c>
      <c r="Z42" s="32">
        <f t="shared" si="11"/>
        <v>3.5000000000000004</v>
      </c>
      <c r="AA42" s="2">
        <v>0.8</v>
      </c>
      <c r="AB42" s="21">
        <f t="shared" si="12"/>
        <v>32501.760000000002</v>
      </c>
      <c r="AC42" s="2">
        <v>0.9</v>
      </c>
      <c r="AD42" s="21">
        <f t="shared" si="13"/>
        <v>36564.479999999996</v>
      </c>
      <c r="AE42" s="2">
        <v>0.7</v>
      </c>
      <c r="AF42" s="21">
        <f t="shared" si="14"/>
        <v>28439.039999999994</v>
      </c>
      <c r="AG42" s="2">
        <v>0.9</v>
      </c>
      <c r="AH42" s="21">
        <f t="shared" si="15"/>
        <v>36564.479999999996</v>
      </c>
      <c r="AI42" s="2">
        <v>0.2</v>
      </c>
      <c r="AJ42" s="21">
        <f t="shared" si="16"/>
        <v>8125.4400000000005</v>
      </c>
      <c r="AK42" s="32">
        <f t="shared" si="17"/>
        <v>1.96</v>
      </c>
      <c r="AL42" s="1">
        <v>1.96</v>
      </c>
      <c r="AM42" s="21">
        <f t="shared" si="18"/>
        <v>79629.312</v>
      </c>
      <c r="AN42" s="1"/>
      <c r="AO42" s="21">
        <f t="shared" si="19"/>
        <v>0</v>
      </c>
      <c r="AP42" s="197"/>
      <c r="AQ42" s="21">
        <f t="shared" si="20"/>
        <v>0</v>
      </c>
      <c r="AR42" s="1"/>
      <c r="AS42" s="21">
        <f t="shared" si="21"/>
        <v>0</v>
      </c>
      <c r="AT42" s="1"/>
      <c r="AU42" s="21">
        <f t="shared" si="22"/>
        <v>0</v>
      </c>
      <c r="AV42" s="16"/>
    </row>
    <row r="43" spans="1:48" ht="12.75">
      <c r="A43" s="34">
        <f t="shared" si="0"/>
        <v>35</v>
      </c>
      <c r="B43" s="3" t="s">
        <v>125</v>
      </c>
      <c r="C43" s="80">
        <v>3270.2</v>
      </c>
      <c r="D43" s="5">
        <f t="shared" si="1"/>
        <v>6.12</v>
      </c>
      <c r="E43" s="54">
        <f t="shared" si="2"/>
        <v>6.119999999999998</v>
      </c>
      <c r="F43" s="7">
        <f t="shared" si="25"/>
        <v>2.5</v>
      </c>
      <c r="G43" s="2">
        <v>1</v>
      </c>
      <c r="H43" s="2">
        <f t="shared" si="24"/>
        <v>39242.399999999994</v>
      </c>
      <c r="I43" s="2">
        <v>1</v>
      </c>
      <c r="J43" s="2">
        <f t="shared" si="3"/>
        <v>39242.399999999994</v>
      </c>
      <c r="K43" s="2"/>
      <c r="L43" s="2">
        <f t="shared" si="4"/>
        <v>0</v>
      </c>
      <c r="M43" s="2"/>
      <c r="N43" s="2">
        <f t="shared" si="5"/>
        <v>0</v>
      </c>
      <c r="O43" s="2">
        <v>0.2</v>
      </c>
      <c r="P43" s="2">
        <f t="shared" si="6"/>
        <v>7848.48</v>
      </c>
      <c r="Q43" s="2"/>
      <c r="R43" s="2">
        <f t="shared" si="7"/>
        <v>0</v>
      </c>
      <c r="S43" s="21">
        <v>0.15</v>
      </c>
      <c r="T43" s="21">
        <f t="shared" si="8"/>
        <v>5886.36</v>
      </c>
      <c r="U43" s="2">
        <v>0.15</v>
      </c>
      <c r="V43" s="21">
        <f t="shared" si="9"/>
        <v>5886.36</v>
      </c>
      <c r="W43" s="34">
        <f t="shared" si="10"/>
        <v>35</v>
      </c>
      <c r="X43" s="3" t="s">
        <v>125</v>
      </c>
      <c r="Y43" s="80">
        <v>3270.2</v>
      </c>
      <c r="Z43" s="32">
        <f t="shared" si="11"/>
        <v>3.2</v>
      </c>
      <c r="AA43" s="2">
        <v>0.9</v>
      </c>
      <c r="AB43" s="21">
        <f t="shared" si="12"/>
        <v>35318.159999999996</v>
      </c>
      <c r="AC43" s="2">
        <v>0.7</v>
      </c>
      <c r="AD43" s="21">
        <f t="shared" si="13"/>
        <v>27469.68</v>
      </c>
      <c r="AE43" s="2">
        <v>0.6</v>
      </c>
      <c r="AF43" s="21">
        <f t="shared" si="14"/>
        <v>23545.44</v>
      </c>
      <c r="AG43" s="2">
        <v>0.8</v>
      </c>
      <c r="AH43" s="21">
        <f t="shared" si="15"/>
        <v>31393.92</v>
      </c>
      <c r="AI43" s="2">
        <v>0.2</v>
      </c>
      <c r="AJ43" s="21">
        <f t="shared" si="16"/>
        <v>7848.48</v>
      </c>
      <c r="AK43" s="32">
        <f t="shared" si="17"/>
        <v>0.42</v>
      </c>
      <c r="AL43" s="1">
        <v>0.42</v>
      </c>
      <c r="AM43" s="21">
        <f t="shared" si="18"/>
        <v>16481.807999999997</v>
      </c>
      <c r="AN43" s="1"/>
      <c r="AO43" s="21">
        <f t="shared" si="19"/>
        <v>0</v>
      </c>
      <c r="AP43" s="197"/>
      <c r="AQ43" s="21">
        <f t="shared" si="20"/>
        <v>0</v>
      </c>
      <c r="AR43" s="1"/>
      <c r="AS43" s="21">
        <f t="shared" si="21"/>
        <v>0</v>
      </c>
      <c r="AT43" s="1"/>
      <c r="AU43" s="21">
        <f t="shared" si="22"/>
        <v>0</v>
      </c>
      <c r="AV43" s="16"/>
    </row>
    <row r="44" spans="1:48" ht="12.75">
      <c r="A44" s="34">
        <f t="shared" si="0"/>
        <v>36</v>
      </c>
      <c r="B44" s="3" t="s">
        <v>126</v>
      </c>
      <c r="C44" s="80">
        <v>2204.3</v>
      </c>
      <c r="D44" s="5">
        <f t="shared" si="1"/>
        <v>6.75</v>
      </c>
      <c r="E44" s="54">
        <f t="shared" si="2"/>
        <v>6.749999999999999</v>
      </c>
      <c r="F44" s="7">
        <f t="shared" si="25"/>
        <v>0.8500000000000001</v>
      </c>
      <c r="G44" s="2">
        <v>0.5</v>
      </c>
      <c r="H44" s="2">
        <f t="shared" si="24"/>
        <v>13225.800000000001</v>
      </c>
      <c r="I44" s="2"/>
      <c r="J44" s="2">
        <f t="shared" si="3"/>
        <v>0</v>
      </c>
      <c r="K44" s="2"/>
      <c r="L44" s="2">
        <f t="shared" si="4"/>
        <v>0</v>
      </c>
      <c r="M44" s="2"/>
      <c r="N44" s="2">
        <f t="shared" si="5"/>
        <v>0</v>
      </c>
      <c r="O44" s="2"/>
      <c r="P44" s="2">
        <f t="shared" si="6"/>
        <v>0</v>
      </c>
      <c r="Q44" s="2"/>
      <c r="R44" s="2">
        <f t="shared" si="7"/>
        <v>0</v>
      </c>
      <c r="S44" s="21">
        <v>0.15</v>
      </c>
      <c r="T44" s="21">
        <f t="shared" si="8"/>
        <v>3967.7400000000007</v>
      </c>
      <c r="U44" s="2">
        <v>0.2</v>
      </c>
      <c r="V44" s="21">
        <f t="shared" si="9"/>
        <v>5290.320000000001</v>
      </c>
      <c r="W44" s="34">
        <f t="shared" si="10"/>
        <v>36</v>
      </c>
      <c r="X44" s="3" t="s">
        <v>126</v>
      </c>
      <c r="Y44" s="80">
        <v>2204.3</v>
      </c>
      <c r="Z44" s="32">
        <f t="shared" si="11"/>
        <v>2.8</v>
      </c>
      <c r="AA44" s="2">
        <v>0.7</v>
      </c>
      <c r="AB44" s="21">
        <f t="shared" si="12"/>
        <v>18516.12</v>
      </c>
      <c r="AC44" s="2">
        <v>0.7</v>
      </c>
      <c r="AD44" s="21">
        <f t="shared" si="13"/>
        <v>18516.12</v>
      </c>
      <c r="AE44" s="2">
        <v>0.5</v>
      </c>
      <c r="AF44" s="21">
        <f t="shared" si="14"/>
        <v>13225.800000000001</v>
      </c>
      <c r="AG44" s="2">
        <v>0.7</v>
      </c>
      <c r="AH44" s="21">
        <f t="shared" si="15"/>
        <v>18516.12</v>
      </c>
      <c r="AI44" s="2">
        <v>0.2</v>
      </c>
      <c r="AJ44" s="21">
        <f t="shared" si="16"/>
        <v>5290.320000000001</v>
      </c>
      <c r="AK44" s="32">
        <f t="shared" si="17"/>
        <v>3.1</v>
      </c>
      <c r="AL44" s="1"/>
      <c r="AM44" s="21">
        <f t="shared" si="18"/>
        <v>0</v>
      </c>
      <c r="AN44" s="1">
        <v>3.1</v>
      </c>
      <c r="AO44" s="21">
        <f t="shared" si="19"/>
        <v>81999.96</v>
      </c>
      <c r="AP44" s="197"/>
      <c r="AQ44" s="21">
        <f t="shared" si="20"/>
        <v>0</v>
      </c>
      <c r="AR44" s="1"/>
      <c r="AS44" s="21">
        <f t="shared" si="21"/>
        <v>0</v>
      </c>
      <c r="AT44" s="1"/>
      <c r="AU44" s="21">
        <f t="shared" si="22"/>
        <v>0</v>
      </c>
      <c r="AV44" s="16"/>
    </row>
    <row r="45" spans="1:48" ht="12.75">
      <c r="A45" s="34">
        <f t="shared" si="0"/>
        <v>37</v>
      </c>
      <c r="B45" s="3" t="s">
        <v>216</v>
      </c>
      <c r="C45" s="80">
        <v>2499.2</v>
      </c>
      <c r="D45" s="5">
        <f t="shared" si="1"/>
        <v>4.2</v>
      </c>
      <c r="E45" s="54">
        <f t="shared" si="2"/>
        <v>4.2</v>
      </c>
      <c r="F45" s="7">
        <f t="shared" si="25"/>
        <v>1.95</v>
      </c>
      <c r="G45" s="2">
        <v>1.35</v>
      </c>
      <c r="H45" s="2">
        <f t="shared" si="24"/>
        <v>40487.04</v>
      </c>
      <c r="I45" s="2"/>
      <c r="J45" s="2">
        <f t="shared" si="3"/>
        <v>0</v>
      </c>
      <c r="K45" s="2"/>
      <c r="L45" s="2">
        <f t="shared" si="4"/>
        <v>0</v>
      </c>
      <c r="M45" s="190"/>
      <c r="N45" s="2">
        <f t="shared" si="5"/>
        <v>0</v>
      </c>
      <c r="O45" s="2">
        <v>0.2</v>
      </c>
      <c r="P45" s="2">
        <f t="shared" si="6"/>
        <v>5998.08</v>
      </c>
      <c r="Q45" s="190"/>
      <c r="R45" s="2">
        <f t="shared" si="7"/>
        <v>0</v>
      </c>
      <c r="S45" s="2">
        <v>0.2</v>
      </c>
      <c r="T45" s="21">
        <f t="shared" si="8"/>
        <v>5998.08</v>
      </c>
      <c r="U45" s="2">
        <v>0.2</v>
      </c>
      <c r="V45" s="21">
        <f t="shared" si="9"/>
        <v>5998.08</v>
      </c>
      <c r="W45" s="34">
        <f t="shared" si="10"/>
        <v>37</v>
      </c>
      <c r="X45" s="3" t="s">
        <v>216</v>
      </c>
      <c r="Y45" s="80">
        <v>2499.2</v>
      </c>
      <c r="Z45" s="32">
        <f t="shared" si="11"/>
        <v>2.25</v>
      </c>
      <c r="AA45" s="2">
        <v>0.6</v>
      </c>
      <c r="AB45" s="21">
        <f t="shared" si="12"/>
        <v>17994.239999999998</v>
      </c>
      <c r="AC45" s="2">
        <v>0.5</v>
      </c>
      <c r="AD45" s="21">
        <f t="shared" si="13"/>
        <v>14995.199999999999</v>
      </c>
      <c r="AE45" s="2">
        <v>0.4</v>
      </c>
      <c r="AF45" s="21">
        <f t="shared" si="14"/>
        <v>11996.16</v>
      </c>
      <c r="AG45" s="2">
        <v>0.5</v>
      </c>
      <c r="AH45" s="21">
        <f t="shared" si="15"/>
        <v>14995.199999999999</v>
      </c>
      <c r="AI45" s="2">
        <v>0.25</v>
      </c>
      <c r="AJ45" s="21">
        <f t="shared" si="16"/>
        <v>7497.599999999999</v>
      </c>
      <c r="AK45" s="32">
        <f t="shared" si="17"/>
        <v>0</v>
      </c>
      <c r="AL45" s="190"/>
      <c r="AM45" s="21">
        <f t="shared" si="18"/>
        <v>0</v>
      </c>
      <c r="AN45" s="190"/>
      <c r="AO45" s="21">
        <f t="shared" si="19"/>
        <v>0</v>
      </c>
      <c r="AP45" s="190"/>
      <c r="AQ45" s="21">
        <f t="shared" si="20"/>
        <v>0</v>
      </c>
      <c r="AR45" s="190"/>
      <c r="AS45" s="21">
        <f t="shared" si="21"/>
        <v>0</v>
      </c>
      <c r="AT45" s="2"/>
      <c r="AU45" s="21">
        <f t="shared" si="22"/>
        <v>0</v>
      </c>
      <c r="AV45" s="16"/>
    </row>
    <row r="46" spans="1:48" ht="12.75">
      <c r="A46" s="34">
        <f t="shared" si="0"/>
        <v>38</v>
      </c>
      <c r="B46" s="3" t="s">
        <v>217</v>
      </c>
      <c r="C46" s="80">
        <v>2469.7</v>
      </c>
      <c r="D46" s="5">
        <f t="shared" si="1"/>
        <v>4.57</v>
      </c>
      <c r="E46" s="54">
        <f t="shared" si="2"/>
        <v>4.57</v>
      </c>
      <c r="F46" s="7">
        <f t="shared" si="25"/>
        <v>2.5000000000000004</v>
      </c>
      <c r="G46" s="2">
        <v>1.8</v>
      </c>
      <c r="H46" s="2">
        <f t="shared" si="24"/>
        <v>53345.520000000004</v>
      </c>
      <c r="I46" s="2"/>
      <c r="J46" s="2">
        <f t="shared" si="3"/>
        <v>0</v>
      </c>
      <c r="K46" s="2"/>
      <c r="L46" s="2">
        <f t="shared" si="4"/>
        <v>0</v>
      </c>
      <c r="M46" s="190"/>
      <c r="N46" s="2">
        <f t="shared" si="5"/>
        <v>0</v>
      </c>
      <c r="O46" s="2">
        <v>0.3</v>
      </c>
      <c r="P46" s="2">
        <f t="shared" si="6"/>
        <v>8890.92</v>
      </c>
      <c r="Q46" s="190"/>
      <c r="R46" s="2">
        <f t="shared" si="7"/>
        <v>0</v>
      </c>
      <c r="S46" s="2">
        <v>0.2</v>
      </c>
      <c r="T46" s="21">
        <f t="shared" si="8"/>
        <v>5927.28</v>
      </c>
      <c r="U46" s="2">
        <v>0.2</v>
      </c>
      <c r="V46" s="21">
        <f t="shared" si="9"/>
        <v>5927.28</v>
      </c>
      <c r="W46" s="34">
        <f t="shared" si="10"/>
        <v>38</v>
      </c>
      <c r="X46" s="3" t="s">
        <v>217</v>
      </c>
      <c r="Y46" s="80">
        <v>2469.7</v>
      </c>
      <c r="Z46" s="32">
        <f t="shared" si="11"/>
        <v>2.0700000000000003</v>
      </c>
      <c r="AA46" s="2">
        <v>0.5</v>
      </c>
      <c r="AB46" s="21">
        <f t="shared" si="12"/>
        <v>14818.199999999999</v>
      </c>
      <c r="AC46" s="2">
        <v>0.5</v>
      </c>
      <c r="AD46" s="21">
        <f t="shared" si="13"/>
        <v>14818.199999999999</v>
      </c>
      <c r="AE46" s="2">
        <v>0.37</v>
      </c>
      <c r="AF46" s="21">
        <f t="shared" si="14"/>
        <v>10965.467999999999</v>
      </c>
      <c r="AG46" s="2">
        <v>0.5</v>
      </c>
      <c r="AH46" s="21">
        <f t="shared" si="15"/>
        <v>14818.199999999999</v>
      </c>
      <c r="AI46" s="2">
        <v>0.2</v>
      </c>
      <c r="AJ46" s="21">
        <f t="shared" si="16"/>
        <v>5927.28</v>
      </c>
      <c r="AK46" s="32">
        <f t="shared" si="17"/>
        <v>0</v>
      </c>
      <c r="AL46" s="190"/>
      <c r="AM46" s="21">
        <f t="shared" si="18"/>
        <v>0</v>
      </c>
      <c r="AN46" s="190"/>
      <c r="AO46" s="21">
        <f t="shared" si="19"/>
        <v>0</v>
      </c>
      <c r="AP46" s="190"/>
      <c r="AQ46" s="21">
        <f t="shared" si="20"/>
        <v>0</v>
      </c>
      <c r="AR46" s="190"/>
      <c r="AS46" s="21">
        <f t="shared" si="21"/>
        <v>0</v>
      </c>
      <c r="AT46" s="2"/>
      <c r="AU46" s="21">
        <f t="shared" si="22"/>
        <v>0</v>
      </c>
      <c r="AV46" s="16"/>
    </row>
    <row r="47" spans="1:48" ht="12.75">
      <c r="A47" s="34">
        <f t="shared" si="0"/>
        <v>39</v>
      </c>
      <c r="B47" s="2" t="s">
        <v>248</v>
      </c>
      <c r="C47" s="80">
        <v>1042.1</v>
      </c>
      <c r="D47" s="5">
        <f t="shared" si="1"/>
        <v>0.06</v>
      </c>
      <c r="E47" s="54">
        <f t="shared" si="2"/>
        <v>0.06</v>
      </c>
      <c r="F47" s="7">
        <f t="shared" si="25"/>
        <v>0.06</v>
      </c>
      <c r="G47" s="2">
        <v>0.06</v>
      </c>
      <c r="H47" s="2">
        <f t="shared" si="24"/>
        <v>750.3119999999999</v>
      </c>
      <c r="I47" s="2"/>
      <c r="J47" s="2">
        <f t="shared" si="3"/>
        <v>0</v>
      </c>
      <c r="K47" s="190"/>
      <c r="L47" s="2">
        <f t="shared" si="4"/>
        <v>0</v>
      </c>
      <c r="M47" s="190"/>
      <c r="N47" s="2">
        <f t="shared" si="5"/>
        <v>0</v>
      </c>
      <c r="O47" s="190"/>
      <c r="P47" s="2">
        <f t="shared" si="6"/>
        <v>0</v>
      </c>
      <c r="Q47" s="190"/>
      <c r="R47" s="2">
        <f t="shared" si="7"/>
        <v>0</v>
      </c>
      <c r="S47" s="2"/>
      <c r="T47" s="21">
        <f t="shared" si="8"/>
        <v>0</v>
      </c>
      <c r="U47" s="190"/>
      <c r="V47" s="21">
        <f t="shared" si="9"/>
        <v>0</v>
      </c>
      <c r="W47" s="34">
        <f t="shared" si="10"/>
        <v>39</v>
      </c>
      <c r="X47" s="2" t="s">
        <v>248</v>
      </c>
      <c r="Y47" s="80">
        <v>1042.1</v>
      </c>
      <c r="Z47" s="32">
        <f t="shared" si="11"/>
        <v>0</v>
      </c>
      <c r="AA47" s="2"/>
      <c r="AB47" s="21">
        <f t="shared" si="12"/>
        <v>0</v>
      </c>
      <c r="AC47" s="2"/>
      <c r="AD47" s="21">
        <f t="shared" si="13"/>
        <v>0</v>
      </c>
      <c r="AE47" s="2"/>
      <c r="AF47" s="21">
        <f t="shared" si="14"/>
        <v>0</v>
      </c>
      <c r="AG47" s="190"/>
      <c r="AH47" s="21">
        <f t="shared" si="15"/>
        <v>0</v>
      </c>
      <c r="AI47" s="190"/>
      <c r="AJ47" s="21">
        <f t="shared" si="16"/>
        <v>0</v>
      </c>
      <c r="AK47" s="32">
        <f t="shared" si="17"/>
        <v>0</v>
      </c>
      <c r="AL47" s="190"/>
      <c r="AM47" s="21">
        <f t="shared" si="18"/>
        <v>0</v>
      </c>
      <c r="AN47" s="190"/>
      <c r="AO47" s="21">
        <f t="shared" si="19"/>
        <v>0</v>
      </c>
      <c r="AP47" s="190"/>
      <c r="AQ47" s="21">
        <f t="shared" si="20"/>
        <v>0</v>
      </c>
      <c r="AR47" s="190"/>
      <c r="AS47" s="21">
        <f t="shared" si="21"/>
        <v>0</v>
      </c>
      <c r="AT47" s="190"/>
      <c r="AU47" s="21">
        <f t="shared" si="22"/>
        <v>0</v>
      </c>
      <c r="AV47" s="16"/>
    </row>
    <row r="48" spans="1:48" ht="12.75">
      <c r="A48" s="34">
        <f t="shared" si="0"/>
        <v>40</v>
      </c>
      <c r="B48" s="2" t="s">
        <v>277</v>
      </c>
      <c r="C48" s="80">
        <v>1147.8</v>
      </c>
      <c r="D48" s="5">
        <f t="shared" si="1"/>
        <v>3.6999999999999997</v>
      </c>
      <c r="E48" s="54">
        <f t="shared" si="2"/>
        <v>3.7000000000000006</v>
      </c>
      <c r="F48" s="7">
        <f t="shared" si="25"/>
        <v>2.9699999999999998</v>
      </c>
      <c r="G48" s="2"/>
      <c r="H48" s="2">
        <f t="shared" si="24"/>
        <v>0</v>
      </c>
      <c r="I48" s="2">
        <v>0.3</v>
      </c>
      <c r="J48" s="2">
        <f t="shared" si="3"/>
        <v>4132.08</v>
      </c>
      <c r="K48" s="2">
        <v>0.5</v>
      </c>
      <c r="L48" s="2">
        <f t="shared" si="4"/>
        <v>6886.799999999999</v>
      </c>
      <c r="M48" s="2">
        <v>1.37</v>
      </c>
      <c r="N48" s="2">
        <f t="shared" si="5"/>
        <v>18869.832000000002</v>
      </c>
      <c r="O48" s="2"/>
      <c r="P48" s="2">
        <f t="shared" si="6"/>
        <v>0</v>
      </c>
      <c r="Q48" s="2">
        <v>0.3</v>
      </c>
      <c r="R48" s="2">
        <f>Q48*C48*12</f>
        <v>4132.08</v>
      </c>
      <c r="S48" s="2">
        <v>0.3</v>
      </c>
      <c r="T48" s="21">
        <f t="shared" si="8"/>
        <v>4132.08</v>
      </c>
      <c r="U48" s="2">
        <v>0.2</v>
      </c>
      <c r="V48" s="21">
        <f t="shared" si="9"/>
        <v>2754.7200000000003</v>
      </c>
      <c r="W48" s="34">
        <f t="shared" si="10"/>
        <v>40</v>
      </c>
      <c r="X48" s="2" t="s">
        <v>277</v>
      </c>
      <c r="Y48" s="80">
        <v>1147.8</v>
      </c>
      <c r="Z48" s="32">
        <f t="shared" si="11"/>
        <v>0.73</v>
      </c>
      <c r="AA48" s="2">
        <v>0.3</v>
      </c>
      <c r="AB48" s="21">
        <f t="shared" si="12"/>
        <v>4132.08</v>
      </c>
      <c r="AC48" s="2">
        <v>0.3</v>
      </c>
      <c r="AD48" s="21">
        <f t="shared" si="13"/>
        <v>4132.08</v>
      </c>
      <c r="AE48" s="2">
        <v>0</v>
      </c>
      <c r="AF48" s="21">
        <f t="shared" si="14"/>
        <v>0</v>
      </c>
      <c r="AG48" s="2">
        <v>0</v>
      </c>
      <c r="AH48" s="21">
        <f t="shared" si="15"/>
        <v>0</v>
      </c>
      <c r="AI48" s="2">
        <v>0.13</v>
      </c>
      <c r="AJ48" s="21">
        <f t="shared" si="16"/>
        <v>1790.568</v>
      </c>
      <c r="AK48" s="32">
        <f t="shared" si="17"/>
        <v>0</v>
      </c>
      <c r="AL48" s="190"/>
      <c r="AM48" s="21">
        <f t="shared" si="18"/>
        <v>0</v>
      </c>
      <c r="AN48" s="190"/>
      <c r="AO48" s="21">
        <f t="shared" si="19"/>
        <v>0</v>
      </c>
      <c r="AP48" s="190"/>
      <c r="AQ48" s="21">
        <f t="shared" si="20"/>
        <v>0</v>
      </c>
      <c r="AR48" s="190"/>
      <c r="AS48" s="21">
        <f t="shared" si="21"/>
        <v>0</v>
      </c>
      <c r="AT48" s="190"/>
      <c r="AU48" s="21">
        <f t="shared" si="22"/>
        <v>0</v>
      </c>
      <c r="AV48" s="16"/>
    </row>
    <row r="49" spans="1:48" ht="12.75">
      <c r="A49" s="34">
        <f t="shared" si="0"/>
        <v>41</v>
      </c>
      <c r="B49" s="3" t="s">
        <v>127</v>
      </c>
      <c r="C49" s="168">
        <v>2252</v>
      </c>
      <c r="D49" s="5">
        <f t="shared" si="1"/>
        <v>5.7299999999999995</v>
      </c>
      <c r="E49" s="54">
        <f t="shared" si="2"/>
        <v>5.7299999999999995</v>
      </c>
      <c r="F49" s="7">
        <f t="shared" si="25"/>
        <v>4.529999999999999</v>
      </c>
      <c r="G49" s="2">
        <v>0.4</v>
      </c>
      <c r="H49" s="2">
        <f t="shared" si="24"/>
        <v>10809.6</v>
      </c>
      <c r="I49" s="2">
        <v>3.93</v>
      </c>
      <c r="J49" s="2">
        <f t="shared" si="3"/>
        <v>106204.32</v>
      </c>
      <c r="K49" s="190"/>
      <c r="L49" s="2">
        <f t="shared" si="4"/>
        <v>0</v>
      </c>
      <c r="M49" s="190"/>
      <c r="N49" s="2">
        <f t="shared" si="5"/>
        <v>0</v>
      </c>
      <c r="O49" s="190"/>
      <c r="P49" s="2">
        <f t="shared" si="6"/>
        <v>0</v>
      </c>
      <c r="Q49" s="190"/>
      <c r="R49" s="2">
        <f t="shared" si="7"/>
        <v>0</v>
      </c>
      <c r="S49" s="2">
        <v>0.1</v>
      </c>
      <c r="T49" s="21">
        <f t="shared" si="8"/>
        <v>2702.4</v>
      </c>
      <c r="U49" s="2">
        <v>0.1</v>
      </c>
      <c r="V49" s="21">
        <f t="shared" si="9"/>
        <v>2702.4</v>
      </c>
      <c r="W49" s="34">
        <f t="shared" si="10"/>
        <v>41</v>
      </c>
      <c r="X49" s="3" t="s">
        <v>127</v>
      </c>
      <c r="Y49" s="168">
        <v>2252</v>
      </c>
      <c r="Z49" s="32">
        <f t="shared" si="11"/>
        <v>1.2</v>
      </c>
      <c r="AA49" s="2">
        <v>0.4</v>
      </c>
      <c r="AB49" s="21">
        <f t="shared" si="12"/>
        <v>10809.6</v>
      </c>
      <c r="AC49" s="2">
        <v>0.3</v>
      </c>
      <c r="AD49" s="21">
        <f t="shared" si="13"/>
        <v>8107.200000000001</v>
      </c>
      <c r="AE49" s="2">
        <v>0.2</v>
      </c>
      <c r="AF49" s="21">
        <f t="shared" si="14"/>
        <v>5404.8</v>
      </c>
      <c r="AG49" s="2">
        <v>0.2</v>
      </c>
      <c r="AH49" s="21">
        <f t="shared" si="15"/>
        <v>5404.8</v>
      </c>
      <c r="AI49" s="2">
        <v>0.1</v>
      </c>
      <c r="AJ49" s="21">
        <f t="shared" si="16"/>
        <v>2702.4</v>
      </c>
      <c r="AK49" s="32">
        <f t="shared" si="17"/>
        <v>0</v>
      </c>
      <c r="AL49" s="190"/>
      <c r="AM49" s="21">
        <f t="shared" si="18"/>
        <v>0</v>
      </c>
      <c r="AN49" s="190"/>
      <c r="AO49" s="21">
        <f t="shared" si="19"/>
        <v>0</v>
      </c>
      <c r="AP49" s="2"/>
      <c r="AQ49" s="21">
        <f t="shared" si="20"/>
        <v>0</v>
      </c>
      <c r="AR49" s="190"/>
      <c r="AS49" s="21">
        <f t="shared" si="21"/>
        <v>0</v>
      </c>
      <c r="AT49" s="2"/>
      <c r="AU49" s="21">
        <f t="shared" si="22"/>
        <v>0</v>
      </c>
      <c r="AV49" s="16"/>
    </row>
    <row r="50" spans="1:48" ht="12.75">
      <c r="A50" s="34">
        <f t="shared" si="0"/>
        <v>42</v>
      </c>
      <c r="B50" s="3" t="s">
        <v>128</v>
      </c>
      <c r="C50" s="80">
        <v>5744.1</v>
      </c>
      <c r="D50" s="5">
        <f t="shared" si="1"/>
        <v>6.78</v>
      </c>
      <c r="E50" s="54">
        <f t="shared" si="2"/>
        <v>6.7799999999999985</v>
      </c>
      <c r="F50" s="7">
        <f t="shared" si="25"/>
        <v>2.5100000000000002</v>
      </c>
      <c r="G50" s="2"/>
      <c r="H50" s="2">
        <f t="shared" si="24"/>
        <v>0</v>
      </c>
      <c r="I50" s="2">
        <v>0.2</v>
      </c>
      <c r="J50" s="2">
        <f t="shared" si="3"/>
        <v>13785.840000000002</v>
      </c>
      <c r="K50" s="2"/>
      <c r="L50" s="2">
        <f t="shared" si="4"/>
        <v>0</v>
      </c>
      <c r="M50" s="2">
        <v>1.96</v>
      </c>
      <c r="N50" s="2">
        <f t="shared" si="5"/>
        <v>135101.232</v>
      </c>
      <c r="O50" s="2"/>
      <c r="P50" s="2">
        <f t="shared" si="6"/>
        <v>0</v>
      </c>
      <c r="Q50" s="2"/>
      <c r="R50" s="2">
        <f t="shared" si="7"/>
        <v>0</v>
      </c>
      <c r="S50" s="21">
        <v>0.2</v>
      </c>
      <c r="T50" s="21">
        <f t="shared" si="8"/>
        <v>13785.840000000002</v>
      </c>
      <c r="U50" s="2">
        <v>0.15</v>
      </c>
      <c r="V50" s="21">
        <f t="shared" si="9"/>
        <v>10339.380000000001</v>
      </c>
      <c r="W50" s="34">
        <f t="shared" si="10"/>
        <v>42</v>
      </c>
      <c r="X50" s="3" t="s">
        <v>128</v>
      </c>
      <c r="Y50" s="80">
        <v>5744.1</v>
      </c>
      <c r="Z50" s="32">
        <f t="shared" si="11"/>
        <v>3.0500000000000003</v>
      </c>
      <c r="AA50" s="2">
        <v>0.8</v>
      </c>
      <c r="AB50" s="21">
        <f t="shared" si="12"/>
        <v>55143.36000000001</v>
      </c>
      <c r="AC50" s="2">
        <v>0.5</v>
      </c>
      <c r="AD50" s="21">
        <f t="shared" si="13"/>
        <v>34464.600000000006</v>
      </c>
      <c r="AE50" s="2">
        <v>0.8</v>
      </c>
      <c r="AF50" s="21">
        <f t="shared" si="14"/>
        <v>55143.36000000001</v>
      </c>
      <c r="AG50" s="2">
        <v>0.8</v>
      </c>
      <c r="AH50" s="21">
        <f t="shared" si="15"/>
        <v>55143.36000000001</v>
      </c>
      <c r="AI50" s="2">
        <v>0.15</v>
      </c>
      <c r="AJ50" s="21">
        <f t="shared" si="16"/>
        <v>10339.380000000001</v>
      </c>
      <c r="AK50" s="32">
        <f t="shared" si="17"/>
        <v>1.22</v>
      </c>
      <c r="AL50" s="1"/>
      <c r="AM50" s="21">
        <f t="shared" si="18"/>
        <v>0</v>
      </c>
      <c r="AN50" s="1"/>
      <c r="AO50" s="21">
        <f t="shared" si="19"/>
        <v>0</v>
      </c>
      <c r="AP50" s="197"/>
      <c r="AQ50" s="21">
        <f t="shared" si="20"/>
        <v>0</v>
      </c>
      <c r="AR50" s="1">
        <v>1.22</v>
      </c>
      <c r="AS50" s="21">
        <f t="shared" si="21"/>
        <v>84093.62400000001</v>
      </c>
      <c r="AT50" s="1"/>
      <c r="AU50" s="21">
        <f t="shared" si="22"/>
        <v>0</v>
      </c>
      <c r="AV50" s="16"/>
    </row>
    <row r="51" spans="1:48" ht="12.75">
      <c r="A51" s="34">
        <f t="shared" si="0"/>
        <v>43</v>
      </c>
      <c r="B51" s="3" t="s">
        <v>27</v>
      </c>
      <c r="C51" s="12">
        <v>6008.7</v>
      </c>
      <c r="D51" s="5">
        <f t="shared" si="1"/>
        <v>6.48</v>
      </c>
      <c r="E51" s="54">
        <f t="shared" si="2"/>
        <v>6.48</v>
      </c>
      <c r="F51" s="7">
        <f t="shared" si="25"/>
        <v>3.58</v>
      </c>
      <c r="G51" s="2"/>
      <c r="H51" s="2">
        <f t="shared" si="24"/>
        <v>0</v>
      </c>
      <c r="I51" s="2"/>
      <c r="J51" s="2">
        <f t="shared" si="3"/>
        <v>0</v>
      </c>
      <c r="K51" s="2"/>
      <c r="L51" s="2">
        <f t="shared" si="4"/>
        <v>0</v>
      </c>
      <c r="M51" s="2">
        <v>3.28</v>
      </c>
      <c r="N51" s="2">
        <f t="shared" si="5"/>
        <v>236502.43199999997</v>
      </c>
      <c r="O51" s="2"/>
      <c r="P51" s="2">
        <f t="shared" si="6"/>
        <v>0</v>
      </c>
      <c r="Q51" s="2"/>
      <c r="R51" s="2">
        <f t="shared" si="7"/>
        <v>0</v>
      </c>
      <c r="S51" s="21">
        <v>0.2</v>
      </c>
      <c r="T51" s="21">
        <f t="shared" si="8"/>
        <v>14420.880000000001</v>
      </c>
      <c r="U51" s="2">
        <v>0.1</v>
      </c>
      <c r="V51" s="21">
        <f t="shared" si="9"/>
        <v>7210.4400000000005</v>
      </c>
      <c r="W51" s="34">
        <f t="shared" si="10"/>
        <v>43</v>
      </c>
      <c r="X51" s="3" t="s">
        <v>27</v>
      </c>
      <c r="Y51" s="12">
        <v>6008.7</v>
      </c>
      <c r="Z51" s="32">
        <f t="shared" si="11"/>
        <v>1.9</v>
      </c>
      <c r="AA51" s="2">
        <v>0.6</v>
      </c>
      <c r="AB51" s="21">
        <f t="shared" si="12"/>
        <v>43262.64</v>
      </c>
      <c r="AC51" s="2">
        <v>0.4</v>
      </c>
      <c r="AD51" s="21">
        <f t="shared" si="13"/>
        <v>28841.760000000002</v>
      </c>
      <c r="AE51" s="2">
        <v>0.4</v>
      </c>
      <c r="AF51" s="21">
        <f t="shared" si="14"/>
        <v>28841.760000000002</v>
      </c>
      <c r="AG51" s="2">
        <v>0.4</v>
      </c>
      <c r="AH51" s="21">
        <f t="shared" si="15"/>
        <v>28841.760000000002</v>
      </c>
      <c r="AI51" s="2">
        <v>0.1</v>
      </c>
      <c r="AJ51" s="21">
        <f t="shared" si="16"/>
        <v>7210.4400000000005</v>
      </c>
      <c r="AK51" s="32">
        <f t="shared" si="17"/>
        <v>1</v>
      </c>
      <c r="AL51" s="1"/>
      <c r="AM51" s="21">
        <f t="shared" si="18"/>
        <v>0</v>
      </c>
      <c r="AN51" s="1">
        <v>1</v>
      </c>
      <c r="AO51" s="21">
        <f t="shared" si="19"/>
        <v>72104.4</v>
      </c>
      <c r="AP51" s="197"/>
      <c r="AQ51" s="21">
        <f t="shared" si="20"/>
        <v>0</v>
      </c>
      <c r="AR51" s="1"/>
      <c r="AS51" s="21">
        <f t="shared" si="21"/>
        <v>0</v>
      </c>
      <c r="AT51" s="1"/>
      <c r="AU51" s="21">
        <f t="shared" si="22"/>
        <v>0</v>
      </c>
      <c r="AV51" s="16"/>
    </row>
    <row r="52" spans="1:48" ht="12.75">
      <c r="A52" s="34">
        <f t="shared" si="0"/>
        <v>44</v>
      </c>
      <c r="B52" s="3" t="s">
        <v>28</v>
      </c>
      <c r="C52" s="12">
        <v>5460.9</v>
      </c>
      <c r="D52" s="5">
        <f t="shared" si="1"/>
        <v>6.4</v>
      </c>
      <c r="E52" s="54">
        <f t="shared" si="2"/>
        <v>6.400000000000001</v>
      </c>
      <c r="F52" s="7">
        <f t="shared" si="25"/>
        <v>2.35</v>
      </c>
      <c r="G52" s="2">
        <v>2</v>
      </c>
      <c r="H52" s="2">
        <f t="shared" si="24"/>
        <v>131061.59999999999</v>
      </c>
      <c r="I52" s="2"/>
      <c r="J52" s="2">
        <f t="shared" si="3"/>
        <v>0</v>
      </c>
      <c r="K52" s="2"/>
      <c r="L52" s="2">
        <f t="shared" si="4"/>
        <v>0</v>
      </c>
      <c r="M52" s="2"/>
      <c r="N52" s="2">
        <f t="shared" si="5"/>
        <v>0</v>
      </c>
      <c r="O52" s="2"/>
      <c r="P52" s="2">
        <f t="shared" si="6"/>
        <v>0</v>
      </c>
      <c r="Q52" s="2"/>
      <c r="R52" s="2">
        <f t="shared" si="7"/>
        <v>0</v>
      </c>
      <c r="S52" s="21">
        <v>0.15</v>
      </c>
      <c r="T52" s="21">
        <f t="shared" si="8"/>
        <v>9829.619999999999</v>
      </c>
      <c r="U52" s="2">
        <v>0.2</v>
      </c>
      <c r="V52" s="21">
        <f t="shared" si="9"/>
        <v>13106.16</v>
      </c>
      <c r="W52" s="34">
        <f t="shared" si="10"/>
        <v>44</v>
      </c>
      <c r="X52" s="3" t="s">
        <v>28</v>
      </c>
      <c r="Y52" s="12">
        <v>5460.9</v>
      </c>
      <c r="Z52" s="32">
        <f t="shared" si="11"/>
        <v>3.05</v>
      </c>
      <c r="AA52" s="2">
        <v>1</v>
      </c>
      <c r="AB52" s="21">
        <f t="shared" si="12"/>
        <v>65530.799999999996</v>
      </c>
      <c r="AC52" s="2">
        <v>0.8</v>
      </c>
      <c r="AD52" s="21">
        <f t="shared" si="13"/>
        <v>52424.64</v>
      </c>
      <c r="AE52" s="2">
        <v>0.6</v>
      </c>
      <c r="AF52" s="21">
        <f t="shared" si="14"/>
        <v>39318.479999999996</v>
      </c>
      <c r="AG52" s="2">
        <v>0.5</v>
      </c>
      <c r="AH52" s="21">
        <f t="shared" si="15"/>
        <v>32765.399999999998</v>
      </c>
      <c r="AI52" s="2">
        <v>0.15</v>
      </c>
      <c r="AJ52" s="21">
        <f t="shared" si="16"/>
        <v>9829.619999999999</v>
      </c>
      <c r="AK52" s="32">
        <f t="shared" si="17"/>
        <v>1</v>
      </c>
      <c r="AL52" s="1"/>
      <c r="AM52" s="21">
        <f t="shared" si="18"/>
        <v>0</v>
      </c>
      <c r="AN52" s="1"/>
      <c r="AO52" s="21">
        <f t="shared" si="19"/>
        <v>0</v>
      </c>
      <c r="AP52" s="197"/>
      <c r="AQ52" s="21">
        <f t="shared" si="20"/>
        <v>0</v>
      </c>
      <c r="AR52" s="1">
        <v>1</v>
      </c>
      <c r="AS52" s="21">
        <f t="shared" si="21"/>
        <v>65530.799999999996</v>
      </c>
      <c r="AT52" s="1"/>
      <c r="AU52" s="21">
        <f t="shared" si="22"/>
        <v>0</v>
      </c>
      <c r="AV52" s="16"/>
    </row>
    <row r="53" spans="1:48" ht="12.75">
      <c r="A53" s="34">
        <f t="shared" si="0"/>
        <v>45</v>
      </c>
      <c r="B53" s="3" t="s">
        <v>109</v>
      </c>
      <c r="C53" s="80">
        <v>1451.7</v>
      </c>
      <c r="D53" s="5">
        <f t="shared" si="1"/>
        <v>4.73</v>
      </c>
      <c r="E53" s="54">
        <f t="shared" si="2"/>
        <v>4.73</v>
      </c>
      <c r="F53" s="7">
        <f t="shared" si="25"/>
        <v>2.73</v>
      </c>
      <c r="G53" s="2">
        <v>1</v>
      </c>
      <c r="H53" s="2">
        <f t="shared" si="24"/>
        <v>17420.4</v>
      </c>
      <c r="I53" s="2"/>
      <c r="J53" s="2">
        <f t="shared" si="3"/>
        <v>0</v>
      </c>
      <c r="K53" s="2">
        <v>1</v>
      </c>
      <c r="L53" s="2">
        <f t="shared" si="4"/>
        <v>17420.4</v>
      </c>
      <c r="M53" s="190"/>
      <c r="N53" s="2">
        <f t="shared" si="5"/>
        <v>0</v>
      </c>
      <c r="O53" s="190"/>
      <c r="P53" s="2">
        <f t="shared" si="6"/>
        <v>0</v>
      </c>
      <c r="Q53" s="190"/>
      <c r="R53" s="2">
        <f t="shared" si="7"/>
        <v>0</v>
      </c>
      <c r="S53" s="2">
        <v>0.5</v>
      </c>
      <c r="T53" s="21">
        <f t="shared" si="8"/>
        <v>8710.2</v>
      </c>
      <c r="U53" s="2">
        <v>0.23</v>
      </c>
      <c r="V53" s="21">
        <f t="shared" si="9"/>
        <v>4006.692</v>
      </c>
      <c r="W53" s="34">
        <f t="shared" si="10"/>
        <v>45</v>
      </c>
      <c r="X53" s="3" t="s">
        <v>109</v>
      </c>
      <c r="Y53" s="80">
        <v>1451.7</v>
      </c>
      <c r="Z53" s="32">
        <f t="shared" si="11"/>
        <v>2</v>
      </c>
      <c r="AA53" s="2">
        <v>0.5</v>
      </c>
      <c r="AB53" s="21">
        <f t="shared" si="12"/>
        <v>8710.2</v>
      </c>
      <c r="AC53" s="2">
        <v>0.3</v>
      </c>
      <c r="AD53" s="21">
        <f t="shared" si="13"/>
        <v>5226.12</v>
      </c>
      <c r="AE53" s="2">
        <v>0.2</v>
      </c>
      <c r="AF53" s="21">
        <f t="shared" si="14"/>
        <v>3484.0800000000004</v>
      </c>
      <c r="AG53" s="2">
        <v>0.5</v>
      </c>
      <c r="AH53" s="21">
        <f t="shared" si="15"/>
        <v>8710.2</v>
      </c>
      <c r="AI53" s="2">
        <v>0.5</v>
      </c>
      <c r="AJ53" s="21">
        <f t="shared" si="16"/>
        <v>8710.2</v>
      </c>
      <c r="AK53" s="32">
        <f t="shared" si="17"/>
        <v>0</v>
      </c>
      <c r="AL53" s="190"/>
      <c r="AM53" s="21">
        <f t="shared" si="18"/>
        <v>0</v>
      </c>
      <c r="AN53" s="190"/>
      <c r="AO53" s="21">
        <f t="shared" si="19"/>
        <v>0</v>
      </c>
      <c r="AP53" s="190"/>
      <c r="AQ53" s="21">
        <f t="shared" si="20"/>
        <v>0</v>
      </c>
      <c r="AR53" s="190"/>
      <c r="AS53" s="21">
        <f t="shared" si="21"/>
        <v>0</v>
      </c>
      <c r="AT53" s="190"/>
      <c r="AU53" s="21">
        <f t="shared" si="22"/>
        <v>0</v>
      </c>
      <c r="AV53" s="16"/>
    </row>
    <row r="54" spans="1:48" ht="12.75">
      <c r="A54" s="34">
        <f t="shared" si="0"/>
        <v>46</v>
      </c>
      <c r="B54" s="3" t="s">
        <v>110</v>
      </c>
      <c r="C54" s="80">
        <v>1470.4</v>
      </c>
      <c r="D54" s="5">
        <f t="shared" si="1"/>
        <v>4.77</v>
      </c>
      <c r="E54" s="54">
        <f t="shared" si="2"/>
        <v>4.77</v>
      </c>
      <c r="F54" s="7">
        <f t="shared" si="25"/>
        <v>2.73</v>
      </c>
      <c r="G54" s="2">
        <v>1</v>
      </c>
      <c r="H54" s="2">
        <f t="shared" si="24"/>
        <v>17644.800000000003</v>
      </c>
      <c r="I54" s="2"/>
      <c r="J54" s="2">
        <f t="shared" si="3"/>
        <v>0</v>
      </c>
      <c r="K54" s="2">
        <v>1</v>
      </c>
      <c r="L54" s="2">
        <f t="shared" si="4"/>
        <v>17644.800000000003</v>
      </c>
      <c r="M54" s="190"/>
      <c r="N54" s="2">
        <f t="shared" si="5"/>
        <v>0</v>
      </c>
      <c r="O54" s="190"/>
      <c r="P54" s="2">
        <f t="shared" si="6"/>
        <v>0</v>
      </c>
      <c r="Q54" s="190"/>
      <c r="R54" s="2">
        <f t="shared" si="7"/>
        <v>0</v>
      </c>
      <c r="S54" s="2">
        <v>0.5</v>
      </c>
      <c r="T54" s="21">
        <f t="shared" si="8"/>
        <v>8822.400000000001</v>
      </c>
      <c r="U54" s="2">
        <v>0.23</v>
      </c>
      <c r="V54" s="21">
        <f t="shared" si="9"/>
        <v>4058.304</v>
      </c>
      <c r="W54" s="34">
        <f t="shared" si="10"/>
        <v>46</v>
      </c>
      <c r="X54" s="3" t="s">
        <v>110</v>
      </c>
      <c r="Y54" s="80">
        <v>1470.4</v>
      </c>
      <c r="Z54" s="32">
        <f t="shared" si="11"/>
        <v>2.04</v>
      </c>
      <c r="AA54" s="2">
        <v>0.5</v>
      </c>
      <c r="AB54" s="21">
        <f t="shared" si="12"/>
        <v>8822.400000000001</v>
      </c>
      <c r="AC54" s="2">
        <v>0.34</v>
      </c>
      <c r="AD54" s="21">
        <f t="shared" si="13"/>
        <v>5999.232000000001</v>
      </c>
      <c r="AE54" s="2">
        <v>0.2</v>
      </c>
      <c r="AF54" s="21">
        <f t="shared" si="14"/>
        <v>3528.9600000000005</v>
      </c>
      <c r="AG54" s="2">
        <v>0.5</v>
      </c>
      <c r="AH54" s="21">
        <f t="shared" si="15"/>
        <v>8822.400000000001</v>
      </c>
      <c r="AI54" s="2">
        <v>0.5</v>
      </c>
      <c r="AJ54" s="21">
        <f t="shared" si="16"/>
        <v>8822.400000000001</v>
      </c>
      <c r="AK54" s="32">
        <f t="shared" si="17"/>
        <v>0</v>
      </c>
      <c r="AL54" s="190"/>
      <c r="AM54" s="21">
        <f t="shared" si="18"/>
        <v>0</v>
      </c>
      <c r="AN54" s="190"/>
      <c r="AO54" s="21">
        <f t="shared" si="19"/>
        <v>0</v>
      </c>
      <c r="AP54" s="190"/>
      <c r="AQ54" s="21">
        <f t="shared" si="20"/>
        <v>0</v>
      </c>
      <c r="AR54" s="190"/>
      <c r="AS54" s="21">
        <f t="shared" si="21"/>
        <v>0</v>
      </c>
      <c r="AT54" s="190"/>
      <c r="AU54" s="21">
        <f t="shared" si="22"/>
        <v>0</v>
      </c>
      <c r="AV54" s="16"/>
    </row>
    <row r="55" spans="1:48" ht="12.75">
      <c r="A55" s="34">
        <f t="shared" si="0"/>
        <v>47</v>
      </c>
      <c r="B55" s="3" t="s">
        <v>114</v>
      </c>
      <c r="C55" s="80">
        <v>2573.8</v>
      </c>
      <c r="D55" s="5">
        <f t="shared" si="1"/>
        <v>4.95</v>
      </c>
      <c r="E55" s="54">
        <f t="shared" si="2"/>
        <v>4.95</v>
      </c>
      <c r="F55" s="7">
        <f t="shared" si="25"/>
        <v>3.45</v>
      </c>
      <c r="G55" s="2">
        <v>0.4</v>
      </c>
      <c r="H55" s="2">
        <f t="shared" si="24"/>
        <v>12354.240000000002</v>
      </c>
      <c r="I55" s="2">
        <v>2.85</v>
      </c>
      <c r="J55" s="2">
        <f t="shared" si="3"/>
        <v>88023.96</v>
      </c>
      <c r="K55" s="2"/>
      <c r="L55" s="2">
        <f t="shared" si="4"/>
        <v>0</v>
      </c>
      <c r="M55" s="190"/>
      <c r="N55" s="2">
        <f t="shared" si="5"/>
        <v>0</v>
      </c>
      <c r="O55" s="190"/>
      <c r="P55" s="2">
        <f t="shared" si="6"/>
        <v>0</v>
      </c>
      <c r="Q55" s="190"/>
      <c r="R55" s="2">
        <f t="shared" si="7"/>
        <v>0</v>
      </c>
      <c r="S55" s="2">
        <v>0.1</v>
      </c>
      <c r="T55" s="21">
        <f t="shared" si="8"/>
        <v>3088.5600000000004</v>
      </c>
      <c r="U55" s="2">
        <v>0.1</v>
      </c>
      <c r="V55" s="21">
        <f t="shared" si="9"/>
        <v>3088.5600000000004</v>
      </c>
      <c r="W55" s="34">
        <f t="shared" si="10"/>
        <v>47</v>
      </c>
      <c r="X55" s="3" t="s">
        <v>114</v>
      </c>
      <c r="Y55" s="80">
        <v>2573.8</v>
      </c>
      <c r="Z55" s="32">
        <f t="shared" si="11"/>
        <v>1.5</v>
      </c>
      <c r="AA55" s="2">
        <v>0.6</v>
      </c>
      <c r="AB55" s="21">
        <f t="shared" si="12"/>
        <v>18531.36</v>
      </c>
      <c r="AC55" s="2">
        <v>0.2</v>
      </c>
      <c r="AD55" s="21">
        <f t="shared" si="13"/>
        <v>6177.120000000001</v>
      </c>
      <c r="AE55" s="2">
        <v>0.2</v>
      </c>
      <c r="AF55" s="21">
        <f t="shared" si="14"/>
        <v>6177.120000000001</v>
      </c>
      <c r="AG55" s="2">
        <v>0.3</v>
      </c>
      <c r="AH55" s="21">
        <f t="shared" si="15"/>
        <v>9265.68</v>
      </c>
      <c r="AI55" s="2">
        <v>0.2</v>
      </c>
      <c r="AJ55" s="21">
        <f t="shared" si="16"/>
        <v>6177.120000000001</v>
      </c>
      <c r="AK55" s="32">
        <f t="shared" si="17"/>
        <v>0</v>
      </c>
      <c r="AL55" s="190"/>
      <c r="AM55" s="21">
        <f t="shared" si="18"/>
        <v>0</v>
      </c>
      <c r="AN55" s="190"/>
      <c r="AO55" s="21">
        <f t="shared" si="19"/>
        <v>0</v>
      </c>
      <c r="AP55" s="2"/>
      <c r="AQ55" s="21">
        <f t="shared" si="20"/>
        <v>0</v>
      </c>
      <c r="AR55" s="190"/>
      <c r="AS55" s="21">
        <f t="shared" si="21"/>
        <v>0</v>
      </c>
      <c r="AT55" s="2"/>
      <c r="AU55" s="21">
        <f t="shared" si="22"/>
        <v>0</v>
      </c>
      <c r="AV55" s="16"/>
    </row>
    <row r="56" spans="1:48" ht="12.75">
      <c r="A56" s="34">
        <f t="shared" si="0"/>
        <v>48</v>
      </c>
      <c r="B56" s="3" t="s">
        <v>115</v>
      </c>
      <c r="C56" s="80">
        <v>2491.8</v>
      </c>
      <c r="D56" s="5">
        <f t="shared" si="1"/>
        <v>4.88</v>
      </c>
      <c r="E56" s="54">
        <f t="shared" si="2"/>
        <v>4.88</v>
      </c>
      <c r="F56" s="7">
        <f t="shared" si="25"/>
        <v>2.2</v>
      </c>
      <c r="G56" s="2">
        <v>0.8</v>
      </c>
      <c r="H56" s="2">
        <f t="shared" si="24"/>
        <v>23921.280000000002</v>
      </c>
      <c r="I56" s="2">
        <v>1</v>
      </c>
      <c r="J56" s="2">
        <f t="shared" si="3"/>
        <v>29901.600000000002</v>
      </c>
      <c r="K56" s="2"/>
      <c r="L56" s="2">
        <f t="shared" si="4"/>
        <v>0</v>
      </c>
      <c r="M56" s="190"/>
      <c r="N56" s="2">
        <f t="shared" si="5"/>
        <v>0</v>
      </c>
      <c r="O56" s="190"/>
      <c r="P56" s="2">
        <f t="shared" si="6"/>
        <v>0</v>
      </c>
      <c r="Q56" s="190"/>
      <c r="R56" s="2">
        <f t="shared" si="7"/>
        <v>0</v>
      </c>
      <c r="S56" s="2">
        <v>0.2</v>
      </c>
      <c r="T56" s="21">
        <f t="shared" si="8"/>
        <v>5980.320000000001</v>
      </c>
      <c r="U56" s="2">
        <v>0.2</v>
      </c>
      <c r="V56" s="21">
        <f t="shared" si="9"/>
        <v>5980.320000000001</v>
      </c>
      <c r="W56" s="34">
        <f t="shared" si="10"/>
        <v>48</v>
      </c>
      <c r="X56" s="3" t="s">
        <v>115</v>
      </c>
      <c r="Y56" s="80">
        <v>2491.8</v>
      </c>
      <c r="Z56" s="32">
        <f t="shared" si="11"/>
        <v>1.8</v>
      </c>
      <c r="AA56" s="2">
        <v>0.6</v>
      </c>
      <c r="AB56" s="21">
        <f t="shared" si="12"/>
        <v>17940.960000000003</v>
      </c>
      <c r="AC56" s="2">
        <v>0.3</v>
      </c>
      <c r="AD56" s="21">
        <f t="shared" si="13"/>
        <v>8970.480000000001</v>
      </c>
      <c r="AE56" s="2">
        <v>0.3</v>
      </c>
      <c r="AF56" s="21">
        <f t="shared" si="14"/>
        <v>8970.480000000001</v>
      </c>
      <c r="AG56" s="2">
        <v>0.4</v>
      </c>
      <c r="AH56" s="21">
        <f t="shared" si="15"/>
        <v>11960.640000000001</v>
      </c>
      <c r="AI56" s="2">
        <v>0.2</v>
      </c>
      <c r="AJ56" s="21">
        <f t="shared" si="16"/>
        <v>5980.320000000001</v>
      </c>
      <c r="AK56" s="32">
        <f t="shared" si="17"/>
        <v>0.88</v>
      </c>
      <c r="AL56" s="190"/>
      <c r="AM56" s="21">
        <f t="shared" si="18"/>
        <v>0</v>
      </c>
      <c r="AN56" s="2">
        <v>0.88</v>
      </c>
      <c r="AO56" s="21">
        <f t="shared" si="19"/>
        <v>26313.408000000003</v>
      </c>
      <c r="AP56" s="190"/>
      <c r="AQ56" s="21">
        <f t="shared" si="20"/>
        <v>0</v>
      </c>
      <c r="AR56" s="190"/>
      <c r="AS56" s="21">
        <f t="shared" si="21"/>
        <v>0</v>
      </c>
      <c r="AT56" s="190"/>
      <c r="AU56" s="21">
        <f t="shared" si="22"/>
        <v>0</v>
      </c>
      <c r="AV56" s="16"/>
    </row>
    <row r="57" spans="1:48" ht="12.75">
      <c r="A57" s="34">
        <f t="shared" si="0"/>
        <v>49</v>
      </c>
      <c r="B57" s="3" t="s">
        <v>116</v>
      </c>
      <c r="C57" s="80">
        <v>2544.5</v>
      </c>
      <c r="D57" s="5">
        <f t="shared" si="1"/>
        <v>5.16</v>
      </c>
      <c r="E57" s="54">
        <f t="shared" si="2"/>
        <v>5.159999999999999</v>
      </c>
      <c r="F57" s="7">
        <f t="shared" si="25"/>
        <v>2.8999999999999995</v>
      </c>
      <c r="G57" s="2">
        <v>2.3</v>
      </c>
      <c r="H57" s="2">
        <f t="shared" si="24"/>
        <v>70228.2</v>
      </c>
      <c r="I57" s="2"/>
      <c r="J57" s="2">
        <f t="shared" si="3"/>
        <v>0</v>
      </c>
      <c r="K57" s="2"/>
      <c r="L57" s="2">
        <f t="shared" si="4"/>
        <v>0</v>
      </c>
      <c r="M57" s="190"/>
      <c r="N57" s="2">
        <f t="shared" si="5"/>
        <v>0</v>
      </c>
      <c r="O57" s="190"/>
      <c r="P57" s="2">
        <f t="shared" si="6"/>
        <v>0</v>
      </c>
      <c r="Q57" s="190"/>
      <c r="R57" s="2">
        <f t="shared" si="7"/>
        <v>0</v>
      </c>
      <c r="S57" s="2">
        <v>0.3</v>
      </c>
      <c r="T57" s="21">
        <f t="shared" si="8"/>
        <v>9160.2</v>
      </c>
      <c r="U57" s="2">
        <v>0.3</v>
      </c>
      <c r="V57" s="21">
        <f t="shared" si="9"/>
        <v>9160.2</v>
      </c>
      <c r="W57" s="34">
        <f t="shared" si="10"/>
        <v>49</v>
      </c>
      <c r="X57" s="3" t="s">
        <v>116</v>
      </c>
      <c r="Y57" s="80">
        <v>2544.5</v>
      </c>
      <c r="Z57" s="32">
        <f t="shared" si="11"/>
        <v>2.2600000000000002</v>
      </c>
      <c r="AA57" s="2">
        <v>0.81</v>
      </c>
      <c r="AB57" s="21">
        <f t="shared" si="12"/>
        <v>24732.54</v>
      </c>
      <c r="AC57" s="2">
        <v>0.55</v>
      </c>
      <c r="AD57" s="21">
        <f t="shared" si="13"/>
        <v>16793.7</v>
      </c>
      <c r="AE57" s="2">
        <v>0.3</v>
      </c>
      <c r="AF57" s="21">
        <f>AE57*C57*12</f>
        <v>9160.2</v>
      </c>
      <c r="AG57" s="2">
        <v>0.4</v>
      </c>
      <c r="AH57" s="21">
        <f t="shared" si="15"/>
        <v>12213.6</v>
      </c>
      <c r="AI57" s="2">
        <v>0.2</v>
      </c>
      <c r="AJ57" s="21">
        <f>AI57*C57*12</f>
        <v>6106.8</v>
      </c>
      <c r="AK57" s="32">
        <f t="shared" si="17"/>
        <v>0</v>
      </c>
      <c r="AL57" s="190"/>
      <c r="AM57" s="21">
        <f t="shared" si="18"/>
        <v>0</v>
      </c>
      <c r="AN57" s="190"/>
      <c r="AO57" s="21">
        <f t="shared" si="19"/>
        <v>0</v>
      </c>
      <c r="AP57" s="190"/>
      <c r="AQ57" s="21">
        <f t="shared" si="20"/>
        <v>0</v>
      </c>
      <c r="AR57" s="190"/>
      <c r="AS57" s="21">
        <f t="shared" si="21"/>
        <v>0</v>
      </c>
      <c r="AT57" s="190"/>
      <c r="AU57" s="21">
        <f t="shared" si="22"/>
        <v>0</v>
      </c>
      <c r="AV57" s="16"/>
    </row>
    <row r="58" spans="1:48" ht="12.75">
      <c r="A58" s="2"/>
      <c r="B58" s="25" t="s">
        <v>29</v>
      </c>
      <c r="C58" s="171">
        <f>SUM(C59:C144)</f>
        <v>204299.12000000002</v>
      </c>
      <c r="D58" s="5"/>
      <c r="E58" s="5"/>
      <c r="F58" s="26"/>
      <c r="G58" s="26">
        <f>H58/C58/12</f>
        <v>0.6018568410867358</v>
      </c>
      <c r="H58" s="24">
        <f>SUM(H59:H144)</f>
        <v>1475505.8759999997</v>
      </c>
      <c r="I58" s="26">
        <f>J58/C58/12</f>
        <v>0.43389353316842477</v>
      </c>
      <c r="J58" s="24">
        <f>SUM(J59:J144)</f>
        <v>1063728.804</v>
      </c>
      <c r="K58" s="26">
        <f>L58/C58/12</f>
        <v>0.23114522470777163</v>
      </c>
      <c r="L58" s="24">
        <f>SUM(L59:L144)</f>
        <v>566673.192</v>
      </c>
      <c r="M58" s="26">
        <f>N58/C58/12</f>
        <v>0.8034878809071717</v>
      </c>
      <c r="N58" s="24">
        <f>SUM(N59:N144)</f>
        <v>1969822.404</v>
      </c>
      <c r="O58" s="26">
        <f>P58/C58/12</f>
        <v>0.06413859247166605</v>
      </c>
      <c r="P58" s="24">
        <f>SUM(P59:P144)</f>
        <v>157241.49599999998</v>
      </c>
      <c r="Q58" s="26">
        <f>R58/C58/12</f>
        <v>0.005216175184699766</v>
      </c>
      <c r="R58" s="24">
        <f>SUM(R59:R144)</f>
        <v>12787.919999999998</v>
      </c>
      <c r="S58" s="26">
        <f>T58/C58/12</f>
        <v>0.3135127062710794</v>
      </c>
      <c r="T58" s="24">
        <f>SUM(T59:T144)</f>
        <v>768604.4400000002</v>
      </c>
      <c r="U58" s="26">
        <f>V58/C58/12</f>
        <v>0.1977497064108744</v>
      </c>
      <c r="V58" s="26">
        <f>SUM(V59:V144)</f>
        <v>484801.09199999995</v>
      </c>
      <c r="W58" s="2"/>
      <c r="X58" s="25" t="s">
        <v>29</v>
      </c>
      <c r="Y58" s="171">
        <f>SUM(Y59:Y144)</f>
        <v>204299.12000000002</v>
      </c>
      <c r="Z58" s="32"/>
      <c r="AA58" s="26">
        <f>AB58/C58/12</f>
        <v>0.6073101969308532</v>
      </c>
      <c r="AB58" s="26">
        <f>SUM(AB59:AB144)</f>
        <v>1488875.2656000003</v>
      </c>
      <c r="AC58" s="26">
        <f>AD58/C58/12</f>
        <v>0.3685141081371275</v>
      </c>
      <c r="AD58" s="26">
        <f>SUM(AD59:AD144)</f>
        <v>903445.2959999999</v>
      </c>
      <c r="AE58" s="26">
        <f>AF58/C58/12</f>
        <v>0.36942051928564346</v>
      </c>
      <c r="AF58" s="26">
        <f>SUM(AF59:AF144)</f>
        <v>905667.4439999999</v>
      </c>
      <c r="AG58" s="26">
        <f>AH58/C58/12</f>
        <v>0.384621495188036</v>
      </c>
      <c r="AH58" s="26">
        <f>SUM(AH59:AH144)</f>
        <v>942933.996</v>
      </c>
      <c r="AI58" s="26">
        <f>AJ58/C58/12</f>
        <v>0.1691352194762268</v>
      </c>
      <c r="AJ58" s="26">
        <f>SUM(AJ59:AJ144)</f>
        <v>414650.118</v>
      </c>
      <c r="AK58" s="32"/>
      <c r="AL58" s="26">
        <f>AM58/C58/12</f>
        <v>0.23811593510534942</v>
      </c>
      <c r="AM58" s="26">
        <f>SUM(AM59:AM144)</f>
        <v>583762.512</v>
      </c>
      <c r="AN58" s="26">
        <f>AO58/C58/12</f>
        <v>0.39764694042734977</v>
      </c>
      <c r="AO58" s="26">
        <f>SUM(AO59:AO144)</f>
        <v>974867.04</v>
      </c>
      <c r="AP58" s="26">
        <f>AQ58/C58/12</f>
        <v>0</v>
      </c>
      <c r="AQ58" s="26">
        <f>SUM(AQ59:AQ144)</f>
        <v>0</v>
      </c>
      <c r="AR58" s="26">
        <f>AS58/C58/12</f>
        <v>0.21778800124053388</v>
      </c>
      <c r="AS58" s="26">
        <f>SUM(AS59:AS144)</f>
        <v>533926.7639999999</v>
      </c>
      <c r="AT58" s="26">
        <f>AU58/C58/12</f>
        <v>0.17731641722196353</v>
      </c>
      <c r="AU58" s="26">
        <f>SUM(AU59:AU144)</f>
        <v>434707.056</v>
      </c>
      <c r="AV58" s="16"/>
    </row>
    <row r="59" spans="1:48" ht="12.75">
      <c r="A59" s="6">
        <v>1</v>
      </c>
      <c r="B59" s="3" t="s">
        <v>167</v>
      </c>
      <c r="C59" s="80">
        <v>2014.9</v>
      </c>
      <c r="D59" s="5">
        <f t="shared" si="1"/>
        <v>5.420000000000001</v>
      </c>
      <c r="E59" s="5"/>
      <c r="F59" s="7">
        <f>G59+I59+K59+M59+O59+Q59+S59+U59</f>
        <v>3.6200000000000006</v>
      </c>
      <c r="G59" s="2">
        <v>1.5</v>
      </c>
      <c r="H59" s="2">
        <f t="shared" si="24"/>
        <v>36268.200000000004</v>
      </c>
      <c r="I59" s="2"/>
      <c r="J59" s="2">
        <f t="shared" si="3"/>
        <v>0</v>
      </c>
      <c r="K59" s="2">
        <v>1.82</v>
      </c>
      <c r="L59" s="2">
        <f t="shared" si="4"/>
        <v>44005.416000000005</v>
      </c>
      <c r="M59" s="190"/>
      <c r="N59" s="2">
        <f t="shared" si="5"/>
        <v>0</v>
      </c>
      <c r="O59" s="190"/>
      <c r="P59" s="2">
        <f t="shared" si="6"/>
        <v>0</v>
      </c>
      <c r="Q59" s="190"/>
      <c r="R59" s="2">
        <f t="shared" si="7"/>
        <v>0</v>
      </c>
      <c r="S59" s="2">
        <v>0.2</v>
      </c>
      <c r="T59" s="21">
        <f t="shared" si="8"/>
        <v>4835.76</v>
      </c>
      <c r="U59" s="2">
        <v>0.1</v>
      </c>
      <c r="V59" s="21">
        <f t="shared" si="9"/>
        <v>2417.88</v>
      </c>
      <c r="W59" s="6">
        <v>1</v>
      </c>
      <c r="X59" s="3" t="s">
        <v>167</v>
      </c>
      <c r="Y59" s="80">
        <v>2014.9</v>
      </c>
      <c r="Z59" s="32">
        <f t="shared" si="11"/>
        <v>1.8</v>
      </c>
      <c r="AA59" s="2">
        <v>1.6</v>
      </c>
      <c r="AB59" s="21">
        <f t="shared" si="12"/>
        <v>38686.08</v>
      </c>
      <c r="AC59" s="2"/>
      <c r="AD59" s="21">
        <f t="shared" si="13"/>
        <v>0</v>
      </c>
      <c r="AE59" s="190"/>
      <c r="AF59" s="21">
        <f aca="true" t="shared" si="26" ref="AF59:AF122">AE59*C59*12</f>
        <v>0</v>
      </c>
      <c r="AG59" s="190"/>
      <c r="AH59" s="21">
        <f t="shared" si="15"/>
        <v>0</v>
      </c>
      <c r="AI59" s="2">
        <v>0.2</v>
      </c>
      <c r="AJ59" s="21">
        <f>AI59*C59*12</f>
        <v>4835.76</v>
      </c>
      <c r="AK59" s="32">
        <f t="shared" si="17"/>
        <v>0</v>
      </c>
      <c r="AL59" s="190"/>
      <c r="AM59" s="21">
        <f t="shared" si="18"/>
        <v>0</v>
      </c>
      <c r="AN59" s="190"/>
      <c r="AO59" s="21">
        <f t="shared" si="19"/>
        <v>0</v>
      </c>
      <c r="AP59" s="190"/>
      <c r="AQ59" s="21">
        <f t="shared" si="20"/>
        <v>0</v>
      </c>
      <c r="AR59" s="190"/>
      <c r="AS59" s="21">
        <f t="shared" si="21"/>
        <v>0</v>
      </c>
      <c r="AT59" s="190"/>
      <c r="AU59" s="21">
        <f t="shared" si="22"/>
        <v>0</v>
      </c>
      <c r="AV59" s="16"/>
    </row>
    <row r="60" spans="1:48" ht="12.75">
      <c r="A60" s="2">
        <f>A59+1</f>
        <v>2</v>
      </c>
      <c r="B60" s="3" t="s">
        <v>31</v>
      </c>
      <c r="C60" s="80">
        <v>5216.4</v>
      </c>
      <c r="D60" s="5">
        <f>F60+Z60+AK60+AV60</f>
        <v>6.16</v>
      </c>
      <c r="E60" s="5"/>
      <c r="F60" s="7">
        <f>G60+I60+K60+M60+O60+Q60+S60+U60</f>
        <v>2.7399999999999998</v>
      </c>
      <c r="G60" s="2">
        <v>0.63</v>
      </c>
      <c r="H60" s="2">
        <f t="shared" si="24"/>
        <v>39435.984</v>
      </c>
      <c r="I60" s="2">
        <v>1.4</v>
      </c>
      <c r="J60" s="2">
        <f t="shared" si="3"/>
        <v>87635.51999999999</v>
      </c>
      <c r="K60" s="2">
        <v>0.5</v>
      </c>
      <c r="L60" s="2">
        <f t="shared" si="4"/>
        <v>31298.399999999998</v>
      </c>
      <c r="M60" s="2"/>
      <c r="N60" s="2">
        <f t="shared" si="5"/>
        <v>0</v>
      </c>
      <c r="O60" s="2"/>
      <c r="P60" s="2">
        <f t="shared" si="6"/>
        <v>0</v>
      </c>
      <c r="Q60" s="2"/>
      <c r="R60" s="2">
        <f t="shared" si="7"/>
        <v>0</v>
      </c>
      <c r="S60" s="2">
        <v>0.11</v>
      </c>
      <c r="T60" s="21">
        <f t="shared" si="8"/>
        <v>6885.647999999999</v>
      </c>
      <c r="U60" s="2">
        <v>0.1</v>
      </c>
      <c r="V60" s="21">
        <f t="shared" si="9"/>
        <v>6259.68</v>
      </c>
      <c r="W60" s="2">
        <f>W59+1</f>
        <v>2</v>
      </c>
      <c r="X60" s="3" t="s">
        <v>31</v>
      </c>
      <c r="Y60" s="80">
        <v>5216.4</v>
      </c>
      <c r="Z60" s="32">
        <f t="shared" si="11"/>
        <v>1.1</v>
      </c>
      <c r="AA60" s="2">
        <v>0.6</v>
      </c>
      <c r="AB60" s="21">
        <f t="shared" si="12"/>
        <v>37558.079999999994</v>
      </c>
      <c r="AC60" s="2"/>
      <c r="AD60" s="21">
        <f t="shared" si="13"/>
        <v>0</v>
      </c>
      <c r="AE60" s="2"/>
      <c r="AF60" s="21">
        <f t="shared" si="26"/>
        <v>0</v>
      </c>
      <c r="AG60" s="2"/>
      <c r="AH60" s="21">
        <f t="shared" si="15"/>
        <v>0</v>
      </c>
      <c r="AI60" s="2">
        <v>0.5</v>
      </c>
      <c r="AJ60" s="21">
        <f>AI60*C60*12</f>
        <v>31298.399999999998</v>
      </c>
      <c r="AK60" s="32">
        <f t="shared" si="17"/>
        <v>1.3199999999999998</v>
      </c>
      <c r="AL60" s="6">
        <v>0.2</v>
      </c>
      <c r="AM60" s="21">
        <f t="shared" si="18"/>
        <v>12519.36</v>
      </c>
      <c r="AN60" s="6">
        <v>1</v>
      </c>
      <c r="AO60" s="21">
        <f t="shared" si="19"/>
        <v>62596.799999999996</v>
      </c>
      <c r="AP60" s="197"/>
      <c r="AQ60" s="21">
        <f t="shared" si="20"/>
        <v>0</v>
      </c>
      <c r="AR60" s="6">
        <v>0.12</v>
      </c>
      <c r="AS60" s="21">
        <f t="shared" si="21"/>
        <v>7511.616</v>
      </c>
      <c r="AT60" s="6"/>
      <c r="AU60" s="21">
        <f t="shared" si="22"/>
        <v>0</v>
      </c>
      <c r="AV60" s="16">
        <v>1</v>
      </c>
    </row>
    <row r="61" spans="1:48" ht="12.75">
      <c r="A61" s="2">
        <f aca="true" t="shared" si="27" ref="A61:A78">A60+1</f>
        <v>3</v>
      </c>
      <c r="B61" s="3" t="s">
        <v>32</v>
      </c>
      <c r="C61" s="80">
        <v>1285.1</v>
      </c>
      <c r="D61" s="5">
        <f aca="true" t="shared" si="28" ref="D61:D102">F61+Z61+AK61+AV61</f>
        <v>7.1400000000000015</v>
      </c>
      <c r="E61" s="5"/>
      <c r="F61" s="7">
        <f aca="true" t="shared" si="29" ref="F61:F102">G61+I61+K61+M61+O61+Q61+S61+U61</f>
        <v>1.91</v>
      </c>
      <c r="G61" s="2">
        <v>0.2</v>
      </c>
      <c r="H61" s="2">
        <f t="shared" si="24"/>
        <v>3084.24</v>
      </c>
      <c r="I61" s="2">
        <v>0.5</v>
      </c>
      <c r="J61" s="2">
        <f t="shared" si="3"/>
        <v>7710.599999999999</v>
      </c>
      <c r="K61" s="2">
        <v>0.51</v>
      </c>
      <c r="L61" s="2">
        <f t="shared" si="4"/>
        <v>7864.812</v>
      </c>
      <c r="M61" s="2"/>
      <c r="N61" s="2">
        <f t="shared" si="5"/>
        <v>0</v>
      </c>
      <c r="O61" s="2">
        <v>0.15</v>
      </c>
      <c r="P61" s="2">
        <f t="shared" si="6"/>
        <v>2313.18</v>
      </c>
      <c r="Q61" s="2"/>
      <c r="R61" s="2">
        <f t="shared" si="7"/>
        <v>0</v>
      </c>
      <c r="S61" s="2">
        <v>0.25</v>
      </c>
      <c r="T61" s="21">
        <f t="shared" si="8"/>
        <v>3855.2999999999997</v>
      </c>
      <c r="U61" s="2">
        <v>0.3</v>
      </c>
      <c r="V61" s="21">
        <f t="shared" si="9"/>
        <v>4626.36</v>
      </c>
      <c r="W61" s="2">
        <f aca="true" t="shared" si="30" ref="W61:W78">W60+1</f>
        <v>3</v>
      </c>
      <c r="X61" s="3" t="s">
        <v>32</v>
      </c>
      <c r="Y61" s="80">
        <v>1285.1</v>
      </c>
      <c r="Z61" s="32">
        <f t="shared" si="11"/>
        <v>4.330000000000001</v>
      </c>
      <c r="AA61" s="2">
        <v>1.59</v>
      </c>
      <c r="AB61" s="21">
        <f t="shared" si="12"/>
        <v>24519.708</v>
      </c>
      <c r="AC61" s="2">
        <v>1.1</v>
      </c>
      <c r="AD61" s="21">
        <f>AC61*C61*12</f>
        <v>16963.32</v>
      </c>
      <c r="AE61" s="2">
        <v>1.1</v>
      </c>
      <c r="AF61" s="21">
        <f t="shared" si="26"/>
        <v>16963.32</v>
      </c>
      <c r="AG61" s="2">
        <v>0.34</v>
      </c>
      <c r="AH61" s="21">
        <f>AG61*C61*12</f>
        <v>5243.2080000000005</v>
      </c>
      <c r="AI61" s="2">
        <v>0.2</v>
      </c>
      <c r="AJ61" s="21">
        <f>AI61*C61*12</f>
        <v>3084.24</v>
      </c>
      <c r="AK61" s="32">
        <f t="shared" si="17"/>
        <v>0.9</v>
      </c>
      <c r="AL61" s="6">
        <v>0.8</v>
      </c>
      <c r="AM61" s="21">
        <f t="shared" si="18"/>
        <v>12336.96</v>
      </c>
      <c r="AN61" s="6"/>
      <c r="AO61" s="21">
        <f t="shared" si="19"/>
        <v>0</v>
      </c>
      <c r="AP61" s="197"/>
      <c r="AQ61" s="21">
        <f t="shared" si="20"/>
        <v>0</v>
      </c>
      <c r="AR61" s="6">
        <v>0.1</v>
      </c>
      <c r="AS61" s="21">
        <f t="shared" si="21"/>
        <v>1542.12</v>
      </c>
      <c r="AT61" s="6"/>
      <c r="AU61" s="21">
        <f t="shared" si="22"/>
        <v>0</v>
      </c>
      <c r="AV61" s="16"/>
    </row>
    <row r="62" spans="1:48" ht="12.75">
      <c r="A62" s="2">
        <f t="shared" si="27"/>
        <v>4</v>
      </c>
      <c r="B62" s="3" t="s">
        <v>33</v>
      </c>
      <c r="C62" s="80">
        <v>2630.6</v>
      </c>
      <c r="D62" s="5">
        <f t="shared" si="28"/>
        <v>6.069999999999999</v>
      </c>
      <c r="E62" s="5"/>
      <c r="F62" s="7">
        <f t="shared" si="29"/>
        <v>3.96</v>
      </c>
      <c r="G62" s="2">
        <v>1.26</v>
      </c>
      <c r="H62" s="2">
        <f t="shared" si="24"/>
        <v>39774.672</v>
      </c>
      <c r="I62" s="2">
        <v>0.2</v>
      </c>
      <c r="J62" s="2">
        <f t="shared" si="3"/>
        <v>6313.4400000000005</v>
      </c>
      <c r="K62" s="2">
        <v>1.5</v>
      </c>
      <c r="L62" s="2">
        <f t="shared" si="4"/>
        <v>47350.799999999996</v>
      </c>
      <c r="M62" s="2"/>
      <c r="N62" s="2">
        <f t="shared" si="5"/>
        <v>0</v>
      </c>
      <c r="O62" s="2"/>
      <c r="P62" s="2">
        <f t="shared" si="6"/>
        <v>0</v>
      </c>
      <c r="Q62" s="2"/>
      <c r="R62" s="2">
        <f t="shared" si="7"/>
        <v>0</v>
      </c>
      <c r="S62" s="2">
        <v>0.5</v>
      </c>
      <c r="T62" s="21">
        <f t="shared" si="8"/>
        <v>15783.599999999999</v>
      </c>
      <c r="U62" s="2">
        <v>0.5</v>
      </c>
      <c r="V62" s="21">
        <f t="shared" si="9"/>
        <v>15783.599999999999</v>
      </c>
      <c r="W62" s="2">
        <f t="shared" si="30"/>
        <v>4</v>
      </c>
      <c r="X62" s="3" t="s">
        <v>33</v>
      </c>
      <c r="Y62" s="80">
        <v>2630.6</v>
      </c>
      <c r="Z62" s="32">
        <f t="shared" si="11"/>
        <v>1.3099999999999998</v>
      </c>
      <c r="AA62" s="2">
        <v>0.5</v>
      </c>
      <c r="AB62" s="21">
        <f t="shared" si="12"/>
        <v>15783.599999999999</v>
      </c>
      <c r="AC62" s="2">
        <v>0.2</v>
      </c>
      <c r="AD62" s="21">
        <f aca="true" t="shared" si="31" ref="AD62:AD102">AC62*C62*12</f>
        <v>6313.4400000000005</v>
      </c>
      <c r="AE62" s="2">
        <v>0.2</v>
      </c>
      <c r="AF62" s="21">
        <f t="shared" si="26"/>
        <v>6313.4400000000005</v>
      </c>
      <c r="AG62" s="2">
        <v>0.2</v>
      </c>
      <c r="AH62" s="21">
        <f aca="true" t="shared" si="32" ref="AH62:AH102">AG62*C62*12</f>
        <v>6313.4400000000005</v>
      </c>
      <c r="AI62" s="2">
        <v>0.21</v>
      </c>
      <c r="AJ62" s="21">
        <f aca="true" t="shared" si="33" ref="AJ62:AJ102">AI62*C62*12</f>
        <v>6629.111999999999</v>
      </c>
      <c r="AK62" s="32">
        <f t="shared" si="17"/>
        <v>0.8</v>
      </c>
      <c r="AL62" s="6"/>
      <c r="AM62" s="21">
        <f t="shared" si="18"/>
        <v>0</v>
      </c>
      <c r="AN62" s="6"/>
      <c r="AO62" s="21">
        <f t="shared" si="19"/>
        <v>0</v>
      </c>
      <c r="AP62" s="197"/>
      <c r="AQ62" s="21">
        <f t="shared" si="20"/>
        <v>0</v>
      </c>
      <c r="AR62" s="6">
        <v>0.8</v>
      </c>
      <c r="AS62" s="21">
        <f t="shared" si="21"/>
        <v>25253.760000000002</v>
      </c>
      <c r="AT62" s="6"/>
      <c r="AU62" s="21">
        <f t="shared" si="22"/>
        <v>0</v>
      </c>
      <c r="AV62" s="16"/>
    </row>
    <row r="63" spans="1:48" ht="12.75">
      <c r="A63" s="2">
        <f t="shared" si="27"/>
        <v>5</v>
      </c>
      <c r="B63" s="3" t="s">
        <v>34</v>
      </c>
      <c r="C63" s="80">
        <v>1266.8</v>
      </c>
      <c r="D63" s="5">
        <f t="shared" si="28"/>
        <v>6.149999999999999</v>
      </c>
      <c r="E63" s="5"/>
      <c r="F63" s="7">
        <f t="shared" si="29"/>
        <v>1.4</v>
      </c>
      <c r="G63" s="2">
        <v>0.51</v>
      </c>
      <c r="H63" s="2">
        <f t="shared" si="24"/>
        <v>7752.816</v>
      </c>
      <c r="I63" s="2">
        <v>0.49</v>
      </c>
      <c r="J63" s="2">
        <f t="shared" si="3"/>
        <v>7448.784</v>
      </c>
      <c r="K63" s="2">
        <v>0</v>
      </c>
      <c r="L63" s="2">
        <f t="shared" si="4"/>
        <v>0</v>
      </c>
      <c r="M63" s="2">
        <v>0</v>
      </c>
      <c r="N63" s="2">
        <f t="shared" si="5"/>
        <v>0</v>
      </c>
      <c r="O63" s="2">
        <v>0</v>
      </c>
      <c r="P63" s="2">
        <f t="shared" si="6"/>
        <v>0</v>
      </c>
      <c r="Q63" s="2">
        <v>0</v>
      </c>
      <c r="R63" s="2">
        <f t="shared" si="7"/>
        <v>0</v>
      </c>
      <c r="S63" s="2">
        <v>0.2</v>
      </c>
      <c r="T63" s="21">
        <f t="shared" si="8"/>
        <v>3040.32</v>
      </c>
      <c r="U63" s="2">
        <v>0.2</v>
      </c>
      <c r="V63" s="21">
        <f t="shared" si="9"/>
        <v>3040.32</v>
      </c>
      <c r="W63" s="2">
        <f t="shared" si="30"/>
        <v>5</v>
      </c>
      <c r="X63" s="3" t="s">
        <v>34</v>
      </c>
      <c r="Y63" s="80">
        <v>1266.8</v>
      </c>
      <c r="Z63" s="32">
        <f t="shared" si="11"/>
        <v>4.2299999999999995</v>
      </c>
      <c r="AA63" s="2">
        <v>1.23</v>
      </c>
      <c r="AB63" s="21">
        <f t="shared" si="12"/>
        <v>18697.968</v>
      </c>
      <c r="AC63" s="2">
        <v>1.2</v>
      </c>
      <c r="AD63" s="21">
        <f t="shared" si="31"/>
        <v>18241.92</v>
      </c>
      <c r="AE63" s="2">
        <v>1.2</v>
      </c>
      <c r="AF63" s="21">
        <f t="shared" si="26"/>
        <v>18241.92</v>
      </c>
      <c r="AG63" s="2">
        <v>0.5</v>
      </c>
      <c r="AH63" s="21">
        <f t="shared" si="32"/>
        <v>7600.799999999999</v>
      </c>
      <c r="AI63" s="2">
        <v>0.1</v>
      </c>
      <c r="AJ63" s="21">
        <f t="shared" si="33"/>
        <v>1520.16</v>
      </c>
      <c r="AK63" s="32">
        <f t="shared" si="17"/>
        <v>0.52</v>
      </c>
      <c r="AL63" s="6">
        <v>0.21</v>
      </c>
      <c r="AM63" s="21">
        <f t="shared" si="18"/>
        <v>3192.3359999999993</v>
      </c>
      <c r="AN63" s="6">
        <v>0</v>
      </c>
      <c r="AO63" s="21">
        <f t="shared" si="19"/>
        <v>0</v>
      </c>
      <c r="AP63" s="197"/>
      <c r="AQ63" s="21">
        <f t="shared" si="20"/>
        <v>0</v>
      </c>
      <c r="AR63" s="6">
        <v>0.31</v>
      </c>
      <c r="AS63" s="21">
        <f t="shared" si="21"/>
        <v>4712.495999999999</v>
      </c>
      <c r="AT63" s="6"/>
      <c r="AU63" s="21">
        <f t="shared" si="22"/>
        <v>0</v>
      </c>
      <c r="AV63" s="16"/>
    </row>
    <row r="64" spans="1:48" ht="12.75">
      <c r="A64" s="2">
        <f t="shared" si="27"/>
        <v>6</v>
      </c>
      <c r="B64" s="3" t="s">
        <v>35</v>
      </c>
      <c r="C64" s="80">
        <v>4482.3</v>
      </c>
      <c r="D64" s="5">
        <f t="shared" si="28"/>
        <v>6.37</v>
      </c>
      <c r="E64" s="5"/>
      <c r="F64" s="7">
        <f t="shared" si="29"/>
        <v>1.1500000000000001</v>
      </c>
      <c r="G64" s="2">
        <v>0.2</v>
      </c>
      <c r="H64" s="2">
        <f t="shared" si="24"/>
        <v>10757.52</v>
      </c>
      <c r="I64" s="2">
        <v>0.5</v>
      </c>
      <c r="J64" s="2">
        <f t="shared" si="3"/>
        <v>26893.800000000003</v>
      </c>
      <c r="K64" s="2">
        <v>0</v>
      </c>
      <c r="L64" s="2">
        <f t="shared" si="4"/>
        <v>0</v>
      </c>
      <c r="M64" s="2">
        <v>0</v>
      </c>
      <c r="N64" s="2">
        <f t="shared" si="5"/>
        <v>0</v>
      </c>
      <c r="O64" s="2">
        <v>0.15</v>
      </c>
      <c r="P64" s="2">
        <f t="shared" si="6"/>
        <v>8068.14</v>
      </c>
      <c r="Q64" s="2">
        <v>0</v>
      </c>
      <c r="R64" s="2">
        <f t="shared" si="7"/>
        <v>0</v>
      </c>
      <c r="S64" s="2">
        <v>0.2</v>
      </c>
      <c r="T64" s="21">
        <f t="shared" si="8"/>
        <v>10757.52</v>
      </c>
      <c r="U64" s="2">
        <v>0.1</v>
      </c>
      <c r="V64" s="21">
        <f t="shared" si="9"/>
        <v>5378.76</v>
      </c>
      <c r="W64" s="2">
        <f t="shared" si="30"/>
        <v>6</v>
      </c>
      <c r="X64" s="3" t="s">
        <v>35</v>
      </c>
      <c r="Y64" s="80">
        <v>4482.3</v>
      </c>
      <c r="Z64" s="32">
        <f t="shared" si="11"/>
        <v>2.7600000000000002</v>
      </c>
      <c r="AA64" s="2">
        <v>1.1</v>
      </c>
      <c r="AB64" s="21">
        <f t="shared" si="12"/>
        <v>59166.36000000001</v>
      </c>
      <c r="AC64" s="2">
        <v>0.5</v>
      </c>
      <c r="AD64" s="21">
        <f t="shared" si="31"/>
        <v>26893.800000000003</v>
      </c>
      <c r="AE64" s="2">
        <v>0.5</v>
      </c>
      <c r="AF64" s="21">
        <f t="shared" si="26"/>
        <v>26893.800000000003</v>
      </c>
      <c r="AG64" s="2">
        <v>0.56</v>
      </c>
      <c r="AH64" s="21">
        <f t="shared" si="32"/>
        <v>30121.056000000004</v>
      </c>
      <c r="AI64" s="2">
        <v>0.1</v>
      </c>
      <c r="AJ64" s="21">
        <f t="shared" si="33"/>
        <v>5378.76</v>
      </c>
      <c r="AK64" s="32">
        <f t="shared" si="17"/>
        <v>1</v>
      </c>
      <c r="AL64" s="6">
        <v>0.5</v>
      </c>
      <c r="AM64" s="21">
        <f t="shared" si="18"/>
        <v>26893.800000000003</v>
      </c>
      <c r="AN64" s="6"/>
      <c r="AO64" s="21">
        <f t="shared" si="19"/>
        <v>0</v>
      </c>
      <c r="AP64" s="6"/>
      <c r="AQ64" s="21">
        <f t="shared" si="20"/>
        <v>0</v>
      </c>
      <c r="AR64" s="6">
        <v>0.5</v>
      </c>
      <c r="AS64" s="21">
        <f t="shared" si="21"/>
        <v>26893.800000000003</v>
      </c>
      <c r="AT64" s="6"/>
      <c r="AU64" s="21">
        <f t="shared" si="22"/>
        <v>0</v>
      </c>
      <c r="AV64" s="16">
        <v>1.46</v>
      </c>
    </row>
    <row r="65" spans="1:48" ht="12.75">
      <c r="A65" s="2">
        <f t="shared" si="27"/>
        <v>7</v>
      </c>
      <c r="B65" s="3" t="s">
        <v>36</v>
      </c>
      <c r="C65" s="168">
        <v>1273</v>
      </c>
      <c r="D65" s="5">
        <f t="shared" si="28"/>
        <v>5.75</v>
      </c>
      <c r="E65" s="5"/>
      <c r="F65" s="7">
        <f t="shared" si="29"/>
        <v>3.5400000000000005</v>
      </c>
      <c r="G65" s="2">
        <v>0.45</v>
      </c>
      <c r="H65" s="2">
        <f t="shared" si="24"/>
        <v>6874.200000000001</v>
      </c>
      <c r="I65" s="2">
        <v>0.64</v>
      </c>
      <c r="J65" s="2">
        <f t="shared" si="3"/>
        <v>9776.64</v>
      </c>
      <c r="K65" s="2">
        <v>1.66</v>
      </c>
      <c r="L65" s="2">
        <f t="shared" si="4"/>
        <v>25358.159999999996</v>
      </c>
      <c r="M65" s="2">
        <v>0</v>
      </c>
      <c r="N65" s="2">
        <f t="shared" si="5"/>
        <v>0</v>
      </c>
      <c r="O65" s="2">
        <v>0.12</v>
      </c>
      <c r="P65" s="2">
        <f t="shared" si="6"/>
        <v>1833.12</v>
      </c>
      <c r="Q65" s="2">
        <v>0</v>
      </c>
      <c r="R65" s="2">
        <f t="shared" si="7"/>
        <v>0</v>
      </c>
      <c r="S65" s="2">
        <v>0.45</v>
      </c>
      <c r="T65" s="21">
        <f t="shared" si="8"/>
        <v>6874.200000000001</v>
      </c>
      <c r="U65" s="2">
        <v>0.22</v>
      </c>
      <c r="V65" s="21">
        <f t="shared" si="9"/>
        <v>3360.7200000000003</v>
      </c>
      <c r="W65" s="2">
        <f t="shared" si="30"/>
        <v>7</v>
      </c>
      <c r="X65" s="3" t="s">
        <v>36</v>
      </c>
      <c r="Y65" s="168">
        <v>1273</v>
      </c>
      <c r="Z65" s="32">
        <f t="shared" si="11"/>
        <v>0.7000000000000001</v>
      </c>
      <c r="AA65" s="2">
        <v>0.2</v>
      </c>
      <c r="AB65" s="21">
        <f t="shared" si="12"/>
        <v>3055.2000000000003</v>
      </c>
      <c r="AC65" s="2">
        <v>0.1</v>
      </c>
      <c r="AD65" s="21">
        <f t="shared" si="31"/>
        <v>1527.6000000000001</v>
      </c>
      <c r="AE65" s="2">
        <v>0.1</v>
      </c>
      <c r="AF65" s="21">
        <f t="shared" si="26"/>
        <v>1527.6000000000001</v>
      </c>
      <c r="AG65" s="2">
        <v>0.15</v>
      </c>
      <c r="AH65" s="21">
        <f t="shared" si="32"/>
        <v>2291.3999999999996</v>
      </c>
      <c r="AI65" s="2">
        <v>0.15</v>
      </c>
      <c r="AJ65" s="21">
        <f t="shared" si="33"/>
        <v>2291.3999999999996</v>
      </c>
      <c r="AK65" s="32">
        <f t="shared" si="17"/>
        <v>1.51</v>
      </c>
      <c r="AL65" s="6">
        <v>1.2</v>
      </c>
      <c r="AM65" s="21">
        <f t="shared" si="18"/>
        <v>18331.199999999997</v>
      </c>
      <c r="AN65" s="6"/>
      <c r="AO65" s="21">
        <f t="shared" si="19"/>
        <v>0</v>
      </c>
      <c r="AP65" s="6"/>
      <c r="AQ65" s="21">
        <f t="shared" si="20"/>
        <v>0</v>
      </c>
      <c r="AR65" s="6">
        <v>0.31</v>
      </c>
      <c r="AS65" s="21">
        <f t="shared" si="21"/>
        <v>4735.5599999999995</v>
      </c>
      <c r="AT65" s="6"/>
      <c r="AU65" s="21">
        <f t="shared" si="22"/>
        <v>0</v>
      </c>
      <c r="AV65" s="16"/>
    </row>
    <row r="66" spans="1:48" ht="12.75">
      <c r="A66" s="2">
        <f t="shared" si="27"/>
        <v>8</v>
      </c>
      <c r="B66" s="3" t="s">
        <v>37</v>
      </c>
      <c r="C66" s="168">
        <v>1279.9</v>
      </c>
      <c r="D66" s="5">
        <f t="shared" si="28"/>
        <v>6.15</v>
      </c>
      <c r="E66" s="5"/>
      <c r="F66" s="7">
        <f t="shared" si="29"/>
        <v>3.1900000000000004</v>
      </c>
      <c r="G66" s="2">
        <v>0.6</v>
      </c>
      <c r="H66" s="2">
        <f t="shared" si="24"/>
        <v>9215.28</v>
      </c>
      <c r="I66" s="2">
        <v>2</v>
      </c>
      <c r="J66" s="2">
        <f t="shared" si="3"/>
        <v>30717.600000000002</v>
      </c>
      <c r="K66" s="2">
        <v>0</v>
      </c>
      <c r="L66" s="2">
        <f t="shared" si="4"/>
        <v>0</v>
      </c>
      <c r="M66" s="2">
        <v>0</v>
      </c>
      <c r="N66" s="2">
        <f t="shared" si="5"/>
        <v>0</v>
      </c>
      <c r="O66" s="2">
        <v>0</v>
      </c>
      <c r="P66" s="2">
        <f t="shared" si="6"/>
        <v>0</v>
      </c>
      <c r="Q66" s="2">
        <v>0</v>
      </c>
      <c r="R66" s="2">
        <f t="shared" si="7"/>
        <v>0</v>
      </c>
      <c r="S66" s="2">
        <v>0.39</v>
      </c>
      <c r="T66" s="21">
        <f t="shared" si="8"/>
        <v>5989.932000000001</v>
      </c>
      <c r="U66" s="2">
        <v>0.2</v>
      </c>
      <c r="V66" s="21">
        <f t="shared" si="9"/>
        <v>3071.76</v>
      </c>
      <c r="W66" s="2">
        <f t="shared" si="30"/>
        <v>8</v>
      </c>
      <c r="X66" s="3" t="s">
        <v>37</v>
      </c>
      <c r="Y66" s="168">
        <v>1279.9</v>
      </c>
      <c r="Z66" s="32">
        <f t="shared" si="11"/>
        <v>1.6600000000000004</v>
      </c>
      <c r="AA66" s="2">
        <v>0.45</v>
      </c>
      <c r="AB66" s="21">
        <f t="shared" si="12"/>
        <v>6911.460000000001</v>
      </c>
      <c r="AC66" s="2">
        <v>0.4</v>
      </c>
      <c r="AD66" s="21">
        <f t="shared" si="31"/>
        <v>6143.52</v>
      </c>
      <c r="AE66" s="2">
        <v>0.3</v>
      </c>
      <c r="AF66" s="21">
        <f t="shared" si="26"/>
        <v>4607.64</v>
      </c>
      <c r="AG66" s="2">
        <v>0.4</v>
      </c>
      <c r="AH66" s="21">
        <f t="shared" si="32"/>
        <v>6143.52</v>
      </c>
      <c r="AI66" s="2">
        <v>0.11</v>
      </c>
      <c r="AJ66" s="21">
        <f t="shared" si="33"/>
        <v>1689.4680000000003</v>
      </c>
      <c r="AK66" s="32">
        <f t="shared" si="17"/>
        <v>1.3</v>
      </c>
      <c r="AL66" s="6">
        <v>0.5</v>
      </c>
      <c r="AM66" s="21">
        <f t="shared" si="18"/>
        <v>7679.400000000001</v>
      </c>
      <c r="AN66" s="6"/>
      <c r="AO66" s="21">
        <f t="shared" si="19"/>
        <v>0</v>
      </c>
      <c r="AP66" s="6"/>
      <c r="AQ66" s="21">
        <f t="shared" si="20"/>
        <v>0</v>
      </c>
      <c r="AR66" s="6">
        <v>0.8</v>
      </c>
      <c r="AS66" s="21">
        <f t="shared" si="21"/>
        <v>12287.04</v>
      </c>
      <c r="AT66" s="6"/>
      <c r="AU66" s="21">
        <f t="shared" si="22"/>
        <v>0</v>
      </c>
      <c r="AV66" s="16"/>
    </row>
    <row r="67" spans="1:48" ht="12.75">
      <c r="A67" s="2">
        <f t="shared" si="27"/>
        <v>9</v>
      </c>
      <c r="B67" s="3" t="s">
        <v>229</v>
      </c>
      <c r="C67" s="12">
        <v>4461.9</v>
      </c>
      <c r="D67" s="5">
        <f t="shared" si="28"/>
        <v>6.319999999999999</v>
      </c>
      <c r="E67" s="5"/>
      <c r="F67" s="7">
        <f t="shared" si="29"/>
        <v>3.6199999999999997</v>
      </c>
      <c r="G67" s="2">
        <v>0.9</v>
      </c>
      <c r="H67" s="2">
        <f t="shared" si="24"/>
        <v>48188.52</v>
      </c>
      <c r="I67" s="2">
        <v>2</v>
      </c>
      <c r="J67" s="2">
        <f t="shared" si="3"/>
        <v>107085.59999999999</v>
      </c>
      <c r="K67" s="2">
        <v>0</v>
      </c>
      <c r="L67" s="2">
        <f t="shared" si="4"/>
        <v>0</v>
      </c>
      <c r="M67" s="2"/>
      <c r="N67" s="2">
        <f t="shared" si="5"/>
        <v>0</v>
      </c>
      <c r="O67" s="2">
        <v>0</v>
      </c>
      <c r="P67" s="2">
        <f t="shared" si="6"/>
        <v>0</v>
      </c>
      <c r="Q67" s="2">
        <v>0</v>
      </c>
      <c r="R67" s="2">
        <f t="shared" si="7"/>
        <v>0</v>
      </c>
      <c r="S67" s="2">
        <v>0.4</v>
      </c>
      <c r="T67" s="21">
        <f t="shared" si="8"/>
        <v>21417.12</v>
      </c>
      <c r="U67" s="2">
        <v>0.32</v>
      </c>
      <c r="V67" s="21">
        <f t="shared" si="9"/>
        <v>17133.696</v>
      </c>
      <c r="W67" s="2">
        <f t="shared" si="30"/>
        <v>9</v>
      </c>
      <c r="X67" s="3" t="s">
        <v>229</v>
      </c>
      <c r="Y67" s="12">
        <v>4461.9</v>
      </c>
      <c r="Z67" s="32">
        <f t="shared" si="11"/>
        <v>1.7</v>
      </c>
      <c r="AA67" s="2">
        <v>0.4</v>
      </c>
      <c r="AB67" s="21">
        <f t="shared" si="12"/>
        <v>21417.12</v>
      </c>
      <c r="AC67" s="2">
        <v>0.3</v>
      </c>
      <c r="AD67" s="21">
        <f t="shared" si="31"/>
        <v>16062.84</v>
      </c>
      <c r="AE67" s="2">
        <v>0.3</v>
      </c>
      <c r="AF67" s="21">
        <f t="shared" si="26"/>
        <v>16062.84</v>
      </c>
      <c r="AG67" s="2">
        <v>0.5</v>
      </c>
      <c r="AH67" s="21">
        <f t="shared" si="32"/>
        <v>26771.399999999998</v>
      </c>
      <c r="AI67" s="2">
        <v>0.2</v>
      </c>
      <c r="AJ67" s="21">
        <f t="shared" si="33"/>
        <v>10708.56</v>
      </c>
      <c r="AK67" s="32">
        <f t="shared" si="17"/>
        <v>1</v>
      </c>
      <c r="AL67" s="6">
        <v>0.2</v>
      </c>
      <c r="AM67" s="21">
        <f t="shared" si="18"/>
        <v>10708.56</v>
      </c>
      <c r="AN67" s="6"/>
      <c r="AO67" s="21">
        <f t="shared" si="19"/>
        <v>0</v>
      </c>
      <c r="AP67" s="6"/>
      <c r="AQ67" s="21">
        <f t="shared" si="20"/>
        <v>0</v>
      </c>
      <c r="AR67" s="6">
        <v>0.8</v>
      </c>
      <c r="AS67" s="21">
        <f t="shared" si="21"/>
        <v>42834.24</v>
      </c>
      <c r="AT67" s="6"/>
      <c r="AU67" s="21">
        <f t="shared" si="22"/>
        <v>0</v>
      </c>
      <c r="AV67" s="16"/>
    </row>
    <row r="68" spans="1:48" ht="12.75">
      <c r="A68" s="2">
        <f t="shared" si="27"/>
        <v>10</v>
      </c>
      <c r="B68" s="3" t="s">
        <v>38</v>
      </c>
      <c r="C68" s="80">
        <v>1269.1</v>
      </c>
      <c r="D68" s="5">
        <f t="shared" si="28"/>
        <v>5.5</v>
      </c>
      <c r="E68" s="5"/>
      <c r="F68" s="7">
        <f t="shared" si="29"/>
        <v>2</v>
      </c>
      <c r="G68" s="2">
        <v>0.53</v>
      </c>
      <c r="H68" s="2">
        <f t="shared" si="24"/>
        <v>8071.475999999999</v>
      </c>
      <c r="I68" s="2">
        <v>0.94</v>
      </c>
      <c r="J68" s="2">
        <f t="shared" si="3"/>
        <v>14315.448</v>
      </c>
      <c r="K68" s="2">
        <v>0</v>
      </c>
      <c r="L68" s="2">
        <f t="shared" si="4"/>
        <v>0</v>
      </c>
      <c r="M68" s="2">
        <v>0</v>
      </c>
      <c r="N68" s="2">
        <f t="shared" si="5"/>
        <v>0</v>
      </c>
      <c r="O68" s="2">
        <v>0</v>
      </c>
      <c r="P68" s="2">
        <f t="shared" si="6"/>
        <v>0</v>
      </c>
      <c r="Q68" s="2">
        <v>0</v>
      </c>
      <c r="R68" s="2">
        <f t="shared" si="7"/>
        <v>0</v>
      </c>
      <c r="S68" s="2">
        <v>0.32</v>
      </c>
      <c r="T68" s="21">
        <f t="shared" si="8"/>
        <v>4873.343999999999</v>
      </c>
      <c r="U68" s="2">
        <v>0.21</v>
      </c>
      <c r="V68" s="21">
        <f t="shared" si="9"/>
        <v>3198.1319999999996</v>
      </c>
      <c r="W68" s="2">
        <f t="shared" si="30"/>
        <v>10</v>
      </c>
      <c r="X68" s="3" t="s">
        <v>38</v>
      </c>
      <c r="Y68" s="80">
        <v>1269.1</v>
      </c>
      <c r="Z68" s="32">
        <f t="shared" si="11"/>
        <v>2.5</v>
      </c>
      <c r="AA68" s="2">
        <v>1.5</v>
      </c>
      <c r="AB68" s="21">
        <f t="shared" si="12"/>
        <v>22843.8</v>
      </c>
      <c r="AC68" s="2">
        <v>0.2</v>
      </c>
      <c r="AD68" s="21">
        <f t="shared" si="31"/>
        <v>3045.84</v>
      </c>
      <c r="AE68" s="2">
        <v>0.25</v>
      </c>
      <c r="AF68" s="21">
        <f t="shared" si="26"/>
        <v>3807.2999999999997</v>
      </c>
      <c r="AG68" s="2">
        <v>0.25</v>
      </c>
      <c r="AH68" s="21">
        <f t="shared" si="32"/>
        <v>3807.2999999999997</v>
      </c>
      <c r="AI68" s="2">
        <v>0.3</v>
      </c>
      <c r="AJ68" s="21">
        <f t="shared" si="33"/>
        <v>4568.759999999999</v>
      </c>
      <c r="AK68" s="32">
        <f t="shared" si="17"/>
        <v>1</v>
      </c>
      <c r="AL68" s="6"/>
      <c r="AM68" s="21">
        <f t="shared" si="18"/>
        <v>0</v>
      </c>
      <c r="AN68" s="6"/>
      <c r="AO68" s="21">
        <f t="shared" si="19"/>
        <v>0</v>
      </c>
      <c r="AP68" s="6"/>
      <c r="AQ68" s="21">
        <f t="shared" si="20"/>
        <v>0</v>
      </c>
      <c r="AR68" s="6">
        <v>0.2</v>
      </c>
      <c r="AS68" s="21">
        <f t="shared" si="21"/>
        <v>3045.84</v>
      </c>
      <c r="AT68" s="6">
        <v>0.8</v>
      </c>
      <c r="AU68" s="21">
        <f t="shared" si="22"/>
        <v>12183.36</v>
      </c>
      <c r="AV68" s="16"/>
    </row>
    <row r="69" spans="1:48" ht="12.75">
      <c r="A69" s="2">
        <f t="shared" si="27"/>
        <v>11</v>
      </c>
      <c r="B69" s="3" t="s">
        <v>39</v>
      </c>
      <c r="C69" s="80">
        <v>4454.6</v>
      </c>
      <c r="D69" s="5">
        <f t="shared" si="28"/>
        <v>6.19</v>
      </c>
      <c r="E69" s="5"/>
      <c r="F69" s="7">
        <f t="shared" si="29"/>
        <v>3.78</v>
      </c>
      <c r="G69" s="2">
        <v>0.25</v>
      </c>
      <c r="H69" s="2">
        <f t="shared" si="24"/>
        <v>13363.800000000001</v>
      </c>
      <c r="I69" s="2">
        <v>0</v>
      </c>
      <c r="J69" s="2">
        <f t="shared" si="3"/>
        <v>0</v>
      </c>
      <c r="K69" s="2">
        <v>0</v>
      </c>
      <c r="L69" s="2">
        <f t="shared" si="4"/>
        <v>0</v>
      </c>
      <c r="M69" s="2">
        <v>3</v>
      </c>
      <c r="N69" s="2">
        <f t="shared" si="5"/>
        <v>160365.6</v>
      </c>
      <c r="O69" s="2">
        <v>0</v>
      </c>
      <c r="P69" s="2">
        <f t="shared" si="6"/>
        <v>0</v>
      </c>
      <c r="Q69" s="2">
        <v>0</v>
      </c>
      <c r="R69" s="2">
        <f t="shared" si="7"/>
        <v>0</v>
      </c>
      <c r="S69" s="2">
        <v>0.3</v>
      </c>
      <c r="T69" s="21">
        <f t="shared" si="8"/>
        <v>16036.560000000001</v>
      </c>
      <c r="U69" s="2">
        <v>0.23</v>
      </c>
      <c r="V69" s="21">
        <f t="shared" si="9"/>
        <v>12294.696000000004</v>
      </c>
      <c r="W69" s="2">
        <f t="shared" si="30"/>
        <v>11</v>
      </c>
      <c r="X69" s="3" t="s">
        <v>39</v>
      </c>
      <c r="Y69" s="80">
        <v>4454.6</v>
      </c>
      <c r="Z69" s="32">
        <f t="shared" si="11"/>
        <v>1.5100000000000002</v>
      </c>
      <c r="AA69" s="2">
        <v>0.46</v>
      </c>
      <c r="AB69" s="21">
        <f t="shared" si="12"/>
        <v>24589.392000000007</v>
      </c>
      <c r="AC69" s="2">
        <v>0.4</v>
      </c>
      <c r="AD69" s="21">
        <f t="shared" si="31"/>
        <v>21382.08</v>
      </c>
      <c r="AE69" s="2">
        <v>0.4</v>
      </c>
      <c r="AF69" s="21">
        <f t="shared" si="26"/>
        <v>21382.08</v>
      </c>
      <c r="AG69" s="2">
        <v>0.25</v>
      </c>
      <c r="AH69" s="21">
        <f t="shared" si="32"/>
        <v>13363.800000000001</v>
      </c>
      <c r="AI69" s="2">
        <v>0</v>
      </c>
      <c r="AJ69" s="21">
        <f t="shared" si="33"/>
        <v>0</v>
      </c>
      <c r="AK69" s="32">
        <f t="shared" si="17"/>
        <v>0.9</v>
      </c>
      <c r="AL69" s="6">
        <v>0.4</v>
      </c>
      <c r="AM69" s="21">
        <f t="shared" si="18"/>
        <v>21382.08</v>
      </c>
      <c r="AN69" s="6"/>
      <c r="AO69" s="21">
        <f t="shared" si="19"/>
        <v>0</v>
      </c>
      <c r="AP69" s="6"/>
      <c r="AQ69" s="21">
        <f t="shared" si="20"/>
        <v>0</v>
      </c>
      <c r="AR69" s="6">
        <v>0.5</v>
      </c>
      <c r="AS69" s="21">
        <f t="shared" si="21"/>
        <v>26727.600000000002</v>
      </c>
      <c r="AT69" s="6"/>
      <c r="AU69" s="21">
        <f t="shared" si="22"/>
        <v>0</v>
      </c>
      <c r="AV69" s="16"/>
    </row>
    <row r="70" spans="1:48" ht="12.75">
      <c r="A70" s="2">
        <f t="shared" si="27"/>
        <v>12</v>
      </c>
      <c r="B70" s="3" t="s">
        <v>40</v>
      </c>
      <c r="C70" s="168">
        <v>1264</v>
      </c>
      <c r="D70" s="5">
        <f t="shared" si="28"/>
        <v>7.05</v>
      </c>
      <c r="E70" s="5"/>
      <c r="F70" s="7">
        <f t="shared" si="29"/>
        <v>4.39</v>
      </c>
      <c r="G70" s="2">
        <v>1</v>
      </c>
      <c r="H70" s="2">
        <f t="shared" si="24"/>
        <v>15168</v>
      </c>
      <c r="I70" s="2">
        <v>0</v>
      </c>
      <c r="J70" s="2">
        <f t="shared" si="3"/>
        <v>0</v>
      </c>
      <c r="K70" s="2">
        <v>0</v>
      </c>
      <c r="L70" s="2">
        <f t="shared" si="4"/>
        <v>0</v>
      </c>
      <c r="M70" s="2">
        <v>2.44</v>
      </c>
      <c r="N70" s="2">
        <f t="shared" si="5"/>
        <v>37009.92</v>
      </c>
      <c r="O70" s="2">
        <v>0.1</v>
      </c>
      <c r="P70" s="2">
        <f t="shared" si="6"/>
        <v>1516.8000000000002</v>
      </c>
      <c r="Q70" s="2">
        <v>0</v>
      </c>
      <c r="R70" s="2">
        <f t="shared" si="7"/>
        <v>0</v>
      </c>
      <c r="S70" s="2">
        <v>0.6</v>
      </c>
      <c r="T70" s="21">
        <f t="shared" si="8"/>
        <v>9100.8</v>
      </c>
      <c r="U70" s="2">
        <v>0.25</v>
      </c>
      <c r="V70" s="21">
        <f t="shared" si="9"/>
        <v>3792</v>
      </c>
      <c r="W70" s="2">
        <f t="shared" si="30"/>
        <v>12</v>
      </c>
      <c r="X70" s="3" t="s">
        <v>40</v>
      </c>
      <c r="Y70" s="168">
        <v>1264</v>
      </c>
      <c r="Z70" s="32">
        <f t="shared" si="11"/>
        <v>1.76</v>
      </c>
      <c r="AA70" s="2">
        <v>1.11</v>
      </c>
      <c r="AB70" s="21">
        <f t="shared" si="12"/>
        <v>16836.480000000003</v>
      </c>
      <c r="AC70" s="2">
        <v>0.2</v>
      </c>
      <c r="AD70" s="21">
        <f t="shared" si="31"/>
        <v>3033.6000000000004</v>
      </c>
      <c r="AE70" s="2">
        <v>0.2</v>
      </c>
      <c r="AF70" s="21">
        <f t="shared" si="26"/>
        <v>3033.6000000000004</v>
      </c>
      <c r="AG70" s="2">
        <v>0.2</v>
      </c>
      <c r="AH70" s="21">
        <f t="shared" si="32"/>
        <v>3033.6000000000004</v>
      </c>
      <c r="AI70" s="2">
        <v>0.05</v>
      </c>
      <c r="AJ70" s="21">
        <f t="shared" si="33"/>
        <v>758.4000000000001</v>
      </c>
      <c r="AK70" s="32">
        <f t="shared" si="17"/>
        <v>0.9</v>
      </c>
      <c r="AL70" s="6"/>
      <c r="AM70" s="21">
        <f t="shared" si="18"/>
        <v>0</v>
      </c>
      <c r="AN70" s="6"/>
      <c r="AO70" s="21">
        <f t="shared" si="19"/>
        <v>0</v>
      </c>
      <c r="AP70" s="6"/>
      <c r="AQ70" s="21">
        <f t="shared" si="20"/>
        <v>0</v>
      </c>
      <c r="AR70" s="6">
        <v>0.1</v>
      </c>
      <c r="AS70" s="21">
        <f t="shared" si="21"/>
        <v>1516.8000000000002</v>
      </c>
      <c r="AT70" s="6">
        <v>0.8</v>
      </c>
      <c r="AU70" s="21">
        <f t="shared" si="22"/>
        <v>12134.400000000001</v>
      </c>
      <c r="AV70" s="16"/>
    </row>
    <row r="71" spans="1:48" ht="12.75">
      <c r="A71" s="2">
        <f t="shared" si="27"/>
        <v>13</v>
      </c>
      <c r="B71" s="3" t="s">
        <v>41</v>
      </c>
      <c r="C71" s="168">
        <v>2836.2</v>
      </c>
      <c r="D71" s="5">
        <f t="shared" si="28"/>
        <v>6</v>
      </c>
      <c r="E71" s="5"/>
      <c r="F71" s="7">
        <f t="shared" si="29"/>
        <v>1.2100000000000002</v>
      </c>
      <c r="G71" s="2">
        <v>0.92</v>
      </c>
      <c r="H71" s="2">
        <f t="shared" si="24"/>
        <v>31311.648</v>
      </c>
      <c r="I71" s="2">
        <v>0</v>
      </c>
      <c r="J71" s="2">
        <f t="shared" si="3"/>
        <v>0</v>
      </c>
      <c r="K71" s="2">
        <v>0</v>
      </c>
      <c r="L71" s="2">
        <f t="shared" si="4"/>
        <v>0</v>
      </c>
      <c r="M71" s="2">
        <v>0</v>
      </c>
      <c r="N71" s="2">
        <f t="shared" si="5"/>
        <v>0</v>
      </c>
      <c r="O71" s="2">
        <v>0.09</v>
      </c>
      <c r="P71" s="2">
        <f t="shared" si="6"/>
        <v>3063.0959999999995</v>
      </c>
      <c r="Q71" s="2">
        <v>0</v>
      </c>
      <c r="R71" s="2">
        <f t="shared" si="7"/>
        <v>0</v>
      </c>
      <c r="S71" s="2">
        <v>0.1</v>
      </c>
      <c r="T71" s="21">
        <f t="shared" si="8"/>
        <v>3403.44</v>
      </c>
      <c r="U71" s="2">
        <v>0.1</v>
      </c>
      <c r="V71" s="21">
        <f t="shared" si="9"/>
        <v>3403.44</v>
      </c>
      <c r="W71" s="2">
        <f t="shared" si="30"/>
        <v>13</v>
      </c>
      <c r="X71" s="3" t="s">
        <v>41</v>
      </c>
      <c r="Y71" s="168">
        <v>2836.2</v>
      </c>
      <c r="Z71" s="32">
        <f t="shared" si="11"/>
        <v>2.1999999999999997</v>
      </c>
      <c r="AA71" s="2">
        <v>1</v>
      </c>
      <c r="AB71" s="21">
        <f t="shared" si="12"/>
        <v>34034.399999999994</v>
      </c>
      <c r="AC71" s="2">
        <v>0.4</v>
      </c>
      <c r="AD71" s="21">
        <f t="shared" si="31"/>
        <v>13613.76</v>
      </c>
      <c r="AE71" s="2">
        <v>0.4</v>
      </c>
      <c r="AF71" s="21">
        <f t="shared" si="26"/>
        <v>13613.76</v>
      </c>
      <c r="AG71" s="2">
        <v>0.3</v>
      </c>
      <c r="AH71" s="21">
        <f t="shared" si="32"/>
        <v>10210.32</v>
      </c>
      <c r="AI71" s="2">
        <v>0.1</v>
      </c>
      <c r="AJ71" s="21">
        <f t="shared" si="33"/>
        <v>3403.44</v>
      </c>
      <c r="AK71" s="32">
        <f t="shared" si="17"/>
        <v>2.59</v>
      </c>
      <c r="AL71" s="6">
        <v>0.8</v>
      </c>
      <c r="AM71" s="21">
        <f t="shared" si="18"/>
        <v>27227.52</v>
      </c>
      <c r="AN71" s="6">
        <v>1.29</v>
      </c>
      <c r="AO71" s="21">
        <f t="shared" si="19"/>
        <v>43904.376</v>
      </c>
      <c r="AP71" s="6"/>
      <c r="AQ71" s="21">
        <f t="shared" si="20"/>
        <v>0</v>
      </c>
      <c r="AR71" s="6">
        <v>0.5</v>
      </c>
      <c r="AS71" s="21">
        <f t="shared" si="21"/>
        <v>17017.199999999997</v>
      </c>
      <c r="AT71" s="6"/>
      <c r="AU71" s="21">
        <f t="shared" si="22"/>
        <v>0</v>
      </c>
      <c r="AV71" s="16"/>
    </row>
    <row r="72" spans="1:48" ht="12.75">
      <c r="A72" s="2">
        <f t="shared" si="27"/>
        <v>14</v>
      </c>
      <c r="B72" s="3" t="s">
        <v>230</v>
      </c>
      <c r="C72" s="64">
        <v>1273</v>
      </c>
      <c r="D72" s="5">
        <f t="shared" si="28"/>
        <v>6.2299999999999995</v>
      </c>
      <c r="E72" s="5"/>
      <c r="F72" s="7">
        <f t="shared" si="29"/>
        <v>4.02</v>
      </c>
      <c r="G72" s="2">
        <v>0.4</v>
      </c>
      <c r="H72" s="2">
        <f t="shared" si="24"/>
        <v>6110.400000000001</v>
      </c>
      <c r="I72" s="2">
        <v>1.2</v>
      </c>
      <c r="J72" s="2">
        <f t="shared" si="3"/>
        <v>18331.199999999997</v>
      </c>
      <c r="K72" s="2">
        <v>0</v>
      </c>
      <c r="L72" s="2">
        <f t="shared" si="4"/>
        <v>0</v>
      </c>
      <c r="M72" s="2">
        <v>1.67</v>
      </c>
      <c r="N72" s="2">
        <f t="shared" si="5"/>
        <v>25510.92</v>
      </c>
      <c r="O72" s="2">
        <v>0.3</v>
      </c>
      <c r="P72" s="2">
        <f t="shared" si="6"/>
        <v>4582.799999999999</v>
      </c>
      <c r="Q72" s="2">
        <v>0</v>
      </c>
      <c r="R72" s="2">
        <f t="shared" si="7"/>
        <v>0</v>
      </c>
      <c r="S72" s="2">
        <v>0.2</v>
      </c>
      <c r="T72" s="21">
        <f t="shared" si="8"/>
        <v>3055.2000000000003</v>
      </c>
      <c r="U72" s="2">
        <v>0.25</v>
      </c>
      <c r="V72" s="21">
        <f t="shared" si="9"/>
        <v>3819</v>
      </c>
      <c r="W72" s="2">
        <f t="shared" si="30"/>
        <v>14</v>
      </c>
      <c r="X72" s="3" t="s">
        <v>230</v>
      </c>
      <c r="Y72" s="64">
        <v>1273</v>
      </c>
      <c r="Z72" s="32">
        <f t="shared" si="11"/>
        <v>1.25</v>
      </c>
      <c r="AA72" s="2">
        <v>0.3</v>
      </c>
      <c r="AB72" s="21">
        <f t="shared" si="12"/>
        <v>4582.799999999999</v>
      </c>
      <c r="AC72" s="2">
        <v>0.2</v>
      </c>
      <c r="AD72" s="21">
        <f t="shared" si="31"/>
        <v>3055.2000000000003</v>
      </c>
      <c r="AE72" s="2">
        <v>0.2</v>
      </c>
      <c r="AF72" s="21">
        <f t="shared" si="26"/>
        <v>3055.2000000000003</v>
      </c>
      <c r="AG72" s="2">
        <v>0.3</v>
      </c>
      <c r="AH72" s="21">
        <f t="shared" si="32"/>
        <v>4582.799999999999</v>
      </c>
      <c r="AI72" s="2">
        <v>0.25</v>
      </c>
      <c r="AJ72" s="21">
        <f t="shared" si="33"/>
        <v>3819</v>
      </c>
      <c r="AK72" s="32">
        <f t="shared" si="17"/>
        <v>0.96</v>
      </c>
      <c r="AL72" s="6"/>
      <c r="AM72" s="21">
        <f t="shared" si="18"/>
        <v>0</v>
      </c>
      <c r="AN72" s="6"/>
      <c r="AO72" s="21">
        <f t="shared" si="19"/>
        <v>0</v>
      </c>
      <c r="AP72" s="6"/>
      <c r="AQ72" s="21">
        <f t="shared" si="20"/>
        <v>0</v>
      </c>
      <c r="AR72" s="6">
        <v>0.96</v>
      </c>
      <c r="AS72" s="21">
        <f t="shared" si="21"/>
        <v>14664.96</v>
      </c>
      <c r="AT72" s="6"/>
      <c r="AU72" s="21">
        <f t="shared" si="22"/>
        <v>0</v>
      </c>
      <c r="AV72" s="16"/>
    </row>
    <row r="73" spans="1:48" ht="12.75">
      <c r="A73" s="2">
        <f t="shared" si="27"/>
        <v>15</v>
      </c>
      <c r="B73" s="3" t="s">
        <v>42</v>
      </c>
      <c r="C73" s="80">
        <v>4423.9</v>
      </c>
      <c r="D73" s="5">
        <f t="shared" si="28"/>
        <v>6.22</v>
      </c>
      <c r="E73" s="5"/>
      <c r="F73" s="7">
        <f t="shared" si="29"/>
        <v>2.2199999999999998</v>
      </c>
      <c r="G73" s="2">
        <v>1</v>
      </c>
      <c r="H73" s="2">
        <f t="shared" si="24"/>
        <v>53086.799999999996</v>
      </c>
      <c r="I73" s="2">
        <v>0.2</v>
      </c>
      <c r="J73" s="2">
        <f t="shared" si="3"/>
        <v>10617.36</v>
      </c>
      <c r="K73" s="2">
        <v>0.35</v>
      </c>
      <c r="L73" s="2">
        <f t="shared" si="4"/>
        <v>18580.379999999997</v>
      </c>
      <c r="M73" s="2">
        <v>0</v>
      </c>
      <c r="N73" s="2">
        <f t="shared" si="5"/>
        <v>0</v>
      </c>
      <c r="O73" s="2">
        <v>0</v>
      </c>
      <c r="P73" s="2">
        <f t="shared" si="6"/>
        <v>0</v>
      </c>
      <c r="Q73" s="2">
        <v>0</v>
      </c>
      <c r="R73" s="2">
        <f t="shared" si="7"/>
        <v>0</v>
      </c>
      <c r="S73" s="2">
        <v>0.42</v>
      </c>
      <c r="T73" s="21">
        <f t="shared" si="8"/>
        <v>22296.456</v>
      </c>
      <c r="U73" s="2">
        <v>0.25</v>
      </c>
      <c r="V73" s="21">
        <f t="shared" si="9"/>
        <v>13271.699999999999</v>
      </c>
      <c r="W73" s="2">
        <f t="shared" si="30"/>
        <v>15</v>
      </c>
      <c r="X73" s="3" t="s">
        <v>42</v>
      </c>
      <c r="Y73" s="80">
        <v>4423.9</v>
      </c>
      <c r="Z73" s="32">
        <f t="shared" si="11"/>
        <v>1.5</v>
      </c>
      <c r="AA73" s="2">
        <v>1.2</v>
      </c>
      <c r="AB73" s="21">
        <f t="shared" si="12"/>
        <v>63704.15999999999</v>
      </c>
      <c r="AC73" s="2">
        <v>0</v>
      </c>
      <c r="AD73" s="21">
        <f t="shared" si="31"/>
        <v>0</v>
      </c>
      <c r="AE73" s="2">
        <v>0</v>
      </c>
      <c r="AF73" s="21">
        <f t="shared" si="26"/>
        <v>0</v>
      </c>
      <c r="AG73" s="2">
        <v>0</v>
      </c>
      <c r="AH73" s="21">
        <f t="shared" si="32"/>
        <v>0</v>
      </c>
      <c r="AI73" s="2">
        <v>0.3</v>
      </c>
      <c r="AJ73" s="21">
        <f t="shared" si="33"/>
        <v>15926.039999999997</v>
      </c>
      <c r="AK73" s="32">
        <f t="shared" si="17"/>
        <v>1.5</v>
      </c>
      <c r="AL73" s="6">
        <v>0.3</v>
      </c>
      <c r="AM73" s="21">
        <f t="shared" si="18"/>
        <v>15926.039999999997</v>
      </c>
      <c r="AN73" s="6">
        <v>0.9</v>
      </c>
      <c r="AO73" s="21">
        <f t="shared" si="19"/>
        <v>47778.119999999995</v>
      </c>
      <c r="AP73" s="6"/>
      <c r="AQ73" s="21">
        <f t="shared" si="20"/>
        <v>0</v>
      </c>
      <c r="AR73" s="6">
        <v>0.3</v>
      </c>
      <c r="AS73" s="21">
        <f t="shared" si="21"/>
        <v>15926.039999999997</v>
      </c>
      <c r="AT73" s="6"/>
      <c r="AU73" s="21">
        <f t="shared" si="22"/>
        <v>0</v>
      </c>
      <c r="AV73" s="16">
        <v>1</v>
      </c>
    </row>
    <row r="74" spans="1:48" ht="12.75">
      <c r="A74" s="2">
        <f t="shared" si="27"/>
        <v>16</v>
      </c>
      <c r="B74" s="3" t="s">
        <v>171</v>
      </c>
      <c r="C74" s="80">
        <v>1271.9</v>
      </c>
      <c r="D74" s="5">
        <f t="shared" si="28"/>
        <v>7.05</v>
      </c>
      <c r="E74" s="5"/>
      <c r="F74" s="7">
        <f t="shared" si="29"/>
        <v>3.8499999999999996</v>
      </c>
      <c r="G74" s="2">
        <v>0.65</v>
      </c>
      <c r="H74" s="2">
        <f t="shared" si="24"/>
        <v>9920.820000000002</v>
      </c>
      <c r="I74" s="2"/>
      <c r="J74" s="2">
        <f aca="true" t="shared" si="34" ref="J74:J102">I74*C74*12</f>
        <v>0</v>
      </c>
      <c r="K74" s="2"/>
      <c r="L74" s="2">
        <f aca="true" t="shared" si="35" ref="L74:L102">K74*C74*12</f>
        <v>0</v>
      </c>
      <c r="M74" s="2">
        <v>2.8</v>
      </c>
      <c r="N74" s="2">
        <f aca="true" t="shared" si="36" ref="N74:N102">M74*C74*12</f>
        <v>42735.840000000004</v>
      </c>
      <c r="O74" s="2">
        <v>0</v>
      </c>
      <c r="P74" s="2">
        <f aca="true" t="shared" si="37" ref="P74:P102">O74*C74*12</f>
        <v>0</v>
      </c>
      <c r="Q74" s="2">
        <v>0</v>
      </c>
      <c r="R74" s="2">
        <f aca="true" t="shared" si="38" ref="R74:R102">Q74*C74*12</f>
        <v>0</v>
      </c>
      <c r="S74" s="2">
        <v>0.3</v>
      </c>
      <c r="T74" s="21">
        <f aca="true" t="shared" si="39" ref="T74:T102">S74*C74*12</f>
        <v>4578.84</v>
      </c>
      <c r="U74" s="2">
        <v>0.1</v>
      </c>
      <c r="V74" s="21">
        <f aca="true" t="shared" si="40" ref="V74:V102">U74*C74*12</f>
        <v>1526.2800000000002</v>
      </c>
      <c r="W74" s="2">
        <f t="shared" si="30"/>
        <v>16</v>
      </c>
      <c r="X74" s="3" t="s">
        <v>171</v>
      </c>
      <c r="Y74" s="80">
        <v>1271.9</v>
      </c>
      <c r="Z74" s="32">
        <f aca="true" t="shared" si="41" ref="Z74:Z102">AA74+AC74+AE74+AG74+AI74</f>
        <v>2.4000000000000004</v>
      </c>
      <c r="AA74" s="2">
        <v>1</v>
      </c>
      <c r="AB74" s="21">
        <f aca="true" t="shared" si="42" ref="AB74:AB102">AA74*C74*12</f>
        <v>15262.800000000001</v>
      </c>
      <c r="AC74" s="2">
        <v>0.5</v>
      </c>
      <c r="AD74" s="21">
        <f t="shared" si="31"/>
        <v>7631.400000000001</v>
      </c>
      <c r="AE74" s="2">
        <v>0.6</v>
      </c>
      <c r="AF74" s="21">
        <f t="shared" si="26"/>
        <v>9157.68</v>
      </c>
      <c r="AG74" s="2">
        <v>0.2</v>
      </c>
      <c r="AH74" s="21">
        <f t="shared" si="32"/>
        <v>3052.5600000000004</v>
      </c>
      <c r="AI74" s="2">
        <v>0.1</v>
      </c>
      <c r="AJ74" s="21">
        <f t="shared" si="33"/>
        <v>1526.2800000000002</v>
      </c>
      <c r="AK74" s="32">
        <f aca="true" t="shared" si="43" ref="AK74:AK102">AL74+AN74+AP74+AR74+AT74</f>
        <v>0.8</v>
      </c>
      <c r="AL74" s="6">
        <v>0.8</v>
      </c>
      <c r="AM74" s="21">
        <f aca="true" t="shared" si="44" ref="AM74:AM102">AL74*C74*12</f>
        <v>12210.240000000002</v>
      </c>
      <c r="AN74" s="6"/>
      <c r="AO74" s="21">
        <f aca="true" t="shared" si="45" ref="AO74:AO102">AN74*C74*12</f>
        <v>0</v>
      </c>
      <c r="AP74" s="6"/>
      <c r="AQ74" s="21">
        <f aca="true" t="shared" si="46" ref="AQ74:AQ102">AP74*C74*12</f>
        <v>0</v>
      </c>
      <c r="AR74" s="6"/>
      <c r="AS74" s="21">
        <f aca="true" t="shared" si="47" ref="AS74:AS102">AR74*C74*12</f>
        <v>0</v>
      </c>
      <c r="AT74" s="6"/>
      <c r="AU74" s="21">
        <f aca="true" t="shared" si="48" ref="AU74:AU102">AT74*C74*12</f>
        <v>0</v>
      </c>
      <c r="AV74" s="16"/>
    </row>
    <row r="75" spans="1:48" ht="12.75">
      <c r="A75" s="2">
        <f t="shared" si="27"/>
        <v>17</v>
      </c>
      <c r="B75" s="3" t="s">
        <v>172</v>
      </c>
      <c r="C75" s="80">
        <v>3721.9</v>
      </c>
      <c r="D75" s="5">
        <f t="shared" si="28"/>
        <v>5.970000000000001</v>
      </c>
      <c r="E75" s="5"/>
      <c r="F75" s="7">
        <f t="shared" si="29"/>
        <v>2.9200000000000004</v>
      </c>
      <c r="G75" s="2">
        <v>1</v>
      </c>
      <c r="H75" s="2">
        <f aca="true" t="shared" si="49" ref="H75:H102">G75*C75*12</f>
        <v>44662.8</v>
      </c>
      <c r="I75" s="2">
        <v>0</v>
      </c>
      <c r="J75" s="2">
        <f t="shared" si="34"/>
        <v>0</v>
      </c>
      <c r="K75" s="2"/>
      <c r="L75" s="2">
        <f t="shared" si="35"/>
        <v>0</v>
      </c>
      <c r="M75" s="2">
        <v>1.62</v>
      </c>
      <c r="N75" s="2">
        <f t="shared" si="36"/>
        <v>72353.736</v>
      </c>
      <c r="O75" s="2"/>
      <c r="P75" s="2">
        <f t="shared" si="37"/>
        <v>0</v>
      </c>
      <c r="Q75" s="2">
        <v>0</v>
      </c>
      <c r="R75" s="2">
        <f t="shared" si="38"/>
        <v>0</v>
      </c>
      <c r="S75" s="2">
        <v>0.2</v>
      </c>
      <c r="T75" s="21">
        <f t="shared" si="39"/>
        <v>8932.560000000001</v>
      </c>
      <c r="U75" s="2">
        <v>0.1</v>
      </c>
      <c r="V75" s="21">
        <f t="shared" si="40"/>
        <v>4466.280000000001</v>
      </c>
      <c r="W75" s="2">
        <f t="shared" si="30"/>
        <v>17</v>
      </c>
      <c r="X75" s="3" t="s">
        <v>172</v>
      </c>
      <c r="Y75" s="80">
        <v>3721.9</v>
      </c>
      <c r="Z75" s="32">
        <f t="shared" si="41"/>
        <v>2.93</v>
      </c>
      <c r="AA75" s="2">
        <v>1.33</v>
      </c>
      <c r="AB75" s="21">
        <f t="shared" si="42"/>
        <v>59401.524000000005</v>
      </c>
      <c r="AC75" s="2">
        <v>0.5</v>
      </c>
      <c r="AD75" s="21">
        <f t="shared" si="31"/>
        <v>22331.4</v>
      </c>
      <c r="AE75" s="2">
        <v>0.5</v>
      </c>
      <c r="AF75" s="21">
        <f t="shared" si="26"/>
        <v>22331.4</v>
      </c>
      <c r="AG75" s="2">
        <v>0.5</v>
      </c>
      <c r="AH75" s="21">
        <f t="shared" si="32"/>
        <v>22331.4</v>
      </c>
      <c r="AI75" s="2">
        <v>0.1</v>
      </c>
      <c r="AJ75" s="21">
        <f t="shared" si="33"/>
        <v>4466.280000000001</v>
      </c>
      <c r="AK75" s="32">
        <f t="shared" si="43"/>
        <v>0.12</v>
      </c>
      <c r="AL75" s="6"/>
      <c r="AM75" s="21">
        <f t="shared" si="44"/>
        <v>0</v>
      </c>
      <c r="AN75" s="6"/>
      <c r="AO75" s="21">
        <f t="shared" si="45"/>
        <v>0</v>
      </c>
      <c r="AP75" s="6"/>
      <c r="AQ75" s="21">
        <f t="shared" si="46"/>
        <v>0</v>
      </c>
      <c r="AR75" s="6">
        <v>0.12</v>
      </c>
      <c r="AS75" s="21">
        <f t="shared" si="47"/>
        <v>5359.536</v>
      </c>
      <c r="AT75" s="6"/>
      <c r="AU75" s="21">
        <f t="shared" si="48"/>
        <v>0</v>
      </c>
      <c r="AV75" s="16"/>
    </row>
    <row r="76" spans="1:48" ht="12.75">
      <c r="A76" s="2">
        <f t="shared" si="27"/>
        <v>18</v>
      </c>
      <c r="B76" s="3" t="s">
        <v>208</v>
      </c>
      <c r="C76" s="80">
        <v>2392.9</v>
      </c>
      <c r="D76" s="5">
        <f t="shared" si="28"/>
        <v>5.89</v>
      </c>
      <c r="E76" s="5"/>
      <c r="F76" s="7">
        <f t="shared" si="29"/>
        <v>3.44</v>
      </c>
      <c r="G76" s="2">
        <v>0.3</v>
      </c>
      <c r="H76" s="2">
        <f t="shared" si="49"/>
        <v>8614.44</v>
      </c>
      <c r="I76" s="2">
        <v>0</v>
      </c>
      <c r="J76" s="2">
        <f t="shared" si="34"/>
        <v>0</v>
      </c>
      <c r="K76" s="2">
        <v>0</v>
      </c>
      <c r="L76" s="2">
        <f t="shared" si="35"/>
        <v>0</v>
      </c>
      <c r="M76" s="2">
        <v>2.69</v>
      </c>
      <c r="N76" s="2">
        <f t="shared" si="36"/>
        <v>77242.812</v>
      </c>
      <c r="O76" s="2">
        <v>0</v>
      </c>
      <c r="P76" s="2">
        <f t="shared" si="37"/>
        <v>0</v>
      </c>
      <c r="Q76" s="2">
        <v>0</v>
      </c>
      <c r="R76" s="2">
        <f t="shared" si="38"/>
        <v>0</v>
      </c>
      <c r="S76" s="2">
        <v>0.2</v>
      </c>
      <c r="T76" s="21">
        <f t="shared" si="39"/>
        <v>5742.960000000001</v>
      </c>
      <c r="U76" s="2">
        <v>0.25</v>
      </c>
      <c r="V76" s="21">
        <f t="shared" si="40"/>
        <v>7178.700000000001</v>
      </c>
      <c r="W76" s="2">
        <f t="shared" si="30"/>
        <v>18</v>
      </c>
      <c r="X76" s="3" t="s">
        <v>208</v>
      </c>
      <c r="Y76" s="80">
        <v>2392.9</v>
      </c>
      <c r="Z76" s="32">
        <f t="shared" si="41"/>
        <v>1.75</v>
      </c>
      <c r="AA76" s="2">
        <v>0.5</v>
      </c>
      <c r="AB76" s="21">
        <f t="shared" si="42"/>
        <v>14357.400000000001</v>
      </c>
      <c r="AC76" s="2">
        <v>0.4</v>
      </c>
      <c r="AD76" s="21">
        <f t="shared" si="31"/>
        <v>11485.920000000002</v>
      </c>
      <c r="AE76" s="2">
        <v>0.4</v>
      </c>
      <c r="AF76" s="21">
        <f t="shared" si="26"/>
        <v>11485.920000000002</v>
      </c>
      <c r="AG76" s="2">
        <v>0.3</v>
      </c>
      <c r="AH76" s="21">
        <f t="shared" si="32"/>
        <v>8614.44</v>
      </c>
      <c r="AI76" s="2">
        <v>0.15</v>
      </c>
      <c r="AJ76" s="21">
        <f t="shared" si="33"/>
        <v>4307.22</v>
      </c>
      <c r="AK76" s="32">
        <f t="shared" si="43"/>
        <v>0</v>
      </c>
      <c r="AL76" s="6"/>
      <c r="AM76" s="21">
        <f t="shared" si="44"/>
        <v>0</v>
      </c>
      <c r="AN76" s="6"/>
      <c r="AO76" s="21">
        <f t="shared" si="45"/>
        <v>0</v>
      </c>
      <c r="AP76" s="197"/>
      <c r="AQ76" s="21">
        <f t="shared" si="46"/>
        <v>0</v>
      </c>
      <c r="AR76" s="6"/>
      <c r="AS76" s="21">
        <f t="shared" si="47"/>
        <v>0</v>
      </c>
      <c r="AT76" s="6"/>
      <c r="AU76" s="21">
        <f t="shared" si="48"/>
        <v>0</v>
      </c>
      <c r="AV76" s="16">
        <v>0.7</v>
      </c>
    </row>
    <row r="77" spans="1:48" ht="12.75">
      <c r="A77" s="2">
        <f t="shared" si="27"/>
        <v>19</v>
      </c>
      <c r="B77" s="3" t="s">
        <v>173</v>
      </c>
      <c r="C77" s="80">
        <v>1298.6</v>
      </c>
      <c r="D77" s="5">
        <f t="shared" si="28"/>
        <v>5.950000000000001</v>
      </c>
      <c r="E77" s="5"/>
      <c r="F77" s="7">
        <f t="shared" si="29"/>
        <v>3.3500000000000005</v>
      </c>
      <c r="G77" s="2">
        <v>0.55</v>
      </c>
      <c r="H77" s="2">
        <f t="shared" si="49"/>
        <v>8570.76</v>
      </c>
      <c r="I77" s="2">
        <v>1.56</v>
      </c>
      <c r="J77" s="2">
        <f t="shared" si="34"/>
        <v>24309.792</v>
      </c>
      <c r="K77" s="2">
        <v>0.24</v>
      </c>
      <c r="L77" s="2">
        <f t="shared" si="35"/>
        <v>3739.968</v>
      </c>
      <c r="M77" s="2"/>
      <c r="N77" s="2">
        <f t="shared" si="36"/>
        <v>0</v>
      </c>
      <c r="O77" s="2">
        <v>0.2</v>
      </c>
      <c r="P77" s="2">
        <f t="shared" si="37"/>
        <v>3116.6399999999994</v>
      </c>
      <c r="Q77" s="2"/>
      <c r="R77" s="2">
        <f t="shared" si="38"/>
        <v>0</v>
      </c>
      <c r="S77" s="2">
        <v>0.4</v>
      </c>
      <c r="T77" s="21">
        <f t="shared" si="39"/>
        <v>6233.279999999999</v>
      </c>
      <c r="U77" s="2">
        <v>0.4</v>
      </c>
      <c r="V77" s="21">
        <f t="shared" si="40"/>
        <v>6233.279999999999</v>
      </c>
      <c r="W77" s="2">
        <f t="shared" si="30"/>
        <v>19</v>
      </c>
      <c r="X77" s="3" t="s">
        <v>173</v>
      </c>
      <c r="Y77" s="80">
        <v>1298.6</v>
      </c>
      <c r="Z77" s="32">
        <f t="shared" si="41"/>
        <v>0.9</v>
      </c>
      <c r="AA77" s="2">
        <v>0.3</v>
      </c>
      <c r="AB77" s="21">
        <f t="shared" si="42"/>
        <v>4674.96</v>
      </c>
      <c r="AC77" s="2">
        <v>0.15</v>
      </c>
      <c r="AD77" s="21">
        <f t="shared" si="31"/>
        <v>2337.48</v>
      </c>
      <c r="AE77" s="2">
        <v>0.15</v>
      </c>
      <c r="AF77" s="21">
        <f t="shared" si="26"/>
        <v>2337.48</v>
      </c>
      <c r="AG77" s="2">
        <v>0.15</v>
      </c>
      <c r="AH77" s="21">
        <f t="shared" si="32"/>
        <v>2337.48</v>
      </c>
      <c r="AI77" s="2">
        <v>0.15</v>
      </c>
      <c r="AJ77" s="21">
        <f t="shared" si="33"/>
        <v>2337.48</v>
      </c>
      <c r="AK77" s="32">
        <f t="shared" si="43"/>
        <v>1.2</v>
      </c>
      <c r="AL77" s="6">
        <v>0.5</v>
      </c>
      <c r="AM77" s="21">
        <f t="shared" si="44"/>
        <v>7791.599999999999</v>
      </c>
      <c r="AN77" s="6"/>
      <c r="AO77" s="21">
        <f t="shared" si="45"/>
        <v>0</v>
      </c>
      <c r="AP77" s="197"/>
      <c r="AQ77" s="21">
        <f t="shared" si="46"/>
        <v>0</v>
      </c>
      <c r="AR77" s="6">
        <v>0.7</v>
      </c>
      <c r="AS77" s="21">
        <f t="shared" si="47"/>
        <v>10908.239999999998</v>
      </c>
      <c r="AT77" s="6"/>
      <c r="AU77" s="21">
        <f t="shared" si="48"/>
        <v>0</v>
      </c>
      <c r="AV77" s="16">
        <v>0.5</v>
      </c>
    </row>
    <row r="78" spans="1:48" ht="12.75">
      <c r="A78" s="2">
        <f t="shared" si="27"/>
        <v>20</v>
      </c>
      <c r="B78" s="4" t="s">
        <v>174</v>
      </c>
      <c r="C78" s="170">
        <v>3197.2</v>
      </c>
      <c r="D78" s="5">
        <f t="shared" si="28"/>
        <v>5.28</v>
      </c>
      <c r="E78" s="5"/>
      <c r="F78" s="7">
        <f t="shared" si="29"/>
        <v>2.06</v>
      </c>
      <c r="G78" s="2">
        <v>1.26</v>
      </c>
      <c r="H78" s="2">
        <f t="shared" si="49"/>
        <v>48341.664</v>
      </c>
      <c r="I78" s="2"/>
      <c r="J78" s="2">
        <f t="shared" si="34"/>
        <v>0</v>
      </c>
      <c r="K78" s="2"/>
      <c r="L78" s="2">
        <f t="shared" si="35"/>
        <v>0</v>
      </c>
      <c r="M78" s="2"/>
      <c r="N78" s="2">
        <f t="shared" si="36"/>
        <v>0</v>
      </c>
      <c r="O78" s="2"/>
      <c r="P78" s="2">
        <f t="shared" si="37"/>
        <v>0</v>
      </c>
      <c r="Q78" s="2"/>
      <c r="R78" s="2">
        <f t="shared" si="38"/>
        <v>0</v>
      </c>
      <c r="S78" s="2">
        <v>0.5</v>
      </c>
      <c r="T78" s="21">
        <f t="shared" si="39"/>
        <v>19183.199999999997</v>
      </c>
      <c r="U78" s="2">
        <v>0.3</v>
      </c>
      <c r="V78" s="21">
        <f t="shared" si="40"/>
        <v>11509.919999999998</v>
      </c>
      <c r="W78" s="2">
        <f t="shared" si="30"/>
        <v>20</v>
      </c>
      <c r="X78" s="4" t="s">
        <v>174</v>
      </c>
      <c r="Y78" s="170">
        <v>3197.2</v>
      </c>
      <c r="Z78" s="32">
        <f t="shared" si="41"/>
        <v>2.6000000000000005</v>
      </c>
      <c r="AA78" s="2">
        <v>0.5</v>
      </c>
      <c r="AB78" s="21">
        <f t="shared" si="42"/>
        <v>19183.199999999997</v>
      </c>
      <c r="AC78" s="2">
        <v>0.6</v>
      </c>
      <c r="AD78" s="21">
        <f t="shared" si="31"/>
        <v>23019.839999999997</v>
      </c>
      <c r="AE78" s="2">
        <v>0.8</v>
      </c>
      <c r="AF78" s="21">
        <f t="shared" si="26"/>
        <v>30693.120000000003</v>
      </c>
      <c r="AG78" s="2">
        <v>0.5</v>
      </c>
      <c r="AH78" s="21">
        <f t="shared" si="32"/>
        <v>19183.199999999997</v>
      </c>
      <c r="AI78" s="2">
        <v>0.2</v>
      </c>
      <c r="AJ78" s="21">
        <f t="shared" si="33"/>
        <v>7673.280000000001</v>
      </c>
      <c r="AK78" s="32">
        <f t="shared" si="43"/>
        <v>0</v>
      </c>
      <c r="AL78" s="6"/>
      <c r="AM78" s="21">
        <f t="shared" si="44"/>
        <v>0</v>
      </c>
      <c r="AN78" s="6"/>
      <c r="AO78" s="21">
        <f t="shared" si="45"/>
        <v>0</v>
      </c>
      <c r="AP78" s="197"/>
      <c r="AQ78" s="21">
        <f t="shared" si="46"/>
        <v>0</v>
      </c>
      <c r="AR78" s="6"/>
      <c r="AS78" s="21">
        <f t="shared" si="47"/>
        <v>0</v>
      </c>
      <c r="AT78" s="6"/>
      <c r="AU78" s="21">
        <f t="shared" si="48"/>
        <v>0</v>
      </c>
      <c r="AV78" s="16">
        <v>0.62</v>
      </c>
    </row>
    <row r="79" spans="1:48" ht="12.75">
      <c r="A79" s="6"/>
      <c r="B79" s="4" t="s">
        <v>175</v>
      </c>
      <c r="C79" s="43">
        <v>422.8</v>
      </c>
      <c r="D79" s="5">
        <f t="shared" si="28"/>
        <v>5.37</v>
      </c>
      <c r="E79" s="5"/>
      <c r="F79" s="7">
        <f t="shared" si="29"/>
        <v>0.8900000000000001</v>
      </c>
      <c r="G79" s="2"/>
      <c r="H79" s="2">
        <f t="shared" si="49"/>
        <v>0</v>
      </c>
      <c r="I79" s="2"/>
      <c r="J79" s="2">
        <f t="shared" si="34"/>
        <v>0</v>
      </c>
      <c r="K79" s="2"/>
      <c r="L79" s="2">
        <f t="shared" si="35"/>
        <v>0</v>
      </c>
      <c r="M79" s="2"/>
      <c r="N79" s="2">
        <f t="shared" si="36"/>
        <v>0</v>
      </c>
      <c r="O79" s="199">
        <f>0.34-0.07</f>
        <v>0.27</v>
      </c>
      <c r="P79" s="2">
        <f t="shared" si="37"/>
        <v>1369.872</v>
      </c>
      <c r="Q79" s="2"/>
      <c r="R79" s="2">
        <f t="shared" si="38"/>
        <v>0</v>
      </c>
      <c r="S79" s="2">
        <v>0.32</v>
      </c>
      <c r="T79" s="21">
        <f t="shared" si="39"/>
        <v>1623.552</v>
      </c>
      <c r="U79" s="2">
        <v>0.3</v>
      </c>
      <c r="V79" s="21">
        <f t="shared" si="40"/>
        <v>1522.08</v>
      </c>
      <c r="W79" s="6"/>
      <c r="X79" s="4" t="s">
        <v>175</v>
      </c>
      <c r="Y79" s="43">
        <v>422.8</v>
      </c>
      <c r="Z79" s="32">
        <f t="shared" si="41"/>
        <v>3.48</v>
      </c>
      <c r="AA79" s="2">
        <v>0.7</v>
      </c>
      <c r="AB79" s="21">
        <f t="shared" si="42"/>
        <v>3551.5199999999995</v>
      </c>
      <c r="AC79" s="199">
        <f>0.98-0.1</f>
        <v>0.88</v>
      </c>
      <c r="AD79" s="21">
        <f t="shared" si="31"/>
        <v>4464.768</v>
      </c>
      <c r="AE79" s="2">
        <v>0.6</v>
      </c>
      <c r="AF79" s="21">
        <f t="shared" si="26"/>
        <v>3044.16</v>
      </c>
      <c r="AG79" s="2">
        <v>1</v>
      </c>
      <c r="AH79" s="21">
        <f t="shared" si="32"/>
        <v>5073.6</v>
      </c>
      <c r="AI79" s="2">
        <v>0.3</v>
      </c>
      <c r="AJ79" s="21">
        <f t="shared" si="33"/>
        <v>1522.08</v>
      </c>
      <c r="AK79" s="32">
        <f t="shared" si="43"/>
        <v>0.5</v>
      </c>
      <c r="AL79" s="6">
        <v>0.5</v>
      </c>
      <c r="AM79" s="21">
        <f t="shared" si="44"/>
        <v>2536.8</v>
      </c>
      <c r="AN79" s="6"/>
      <c r="AO79" s="21">
        <f t="shared" si="45"/>
        <v>0</v>
      </c>
      <c r="AP79" s="197"/>
      <c r="AQ79" s="21">
        <f t="shared" si="46"/>
        <v>0</v>
      </c>
      <c r="AR79" s="6"/>
      <c r="AS79" s="21">
        <f t="shared" si="47"/>
        <v>0</v>
      </c>
      <c r="AT79" s="6"/>
      <c r="AU79" s="21">
        <f t="shared" si="48"/>
        <v>0</v>
      </c>
      <c r="AV79" s="16">
        <v>0.5</v>
      </c>
    </row>
    <row r="80" spans="1:48" ht="12.75">
      <c r="A80" s="6"/>
      <c r="B80" s="4" t="s">
        <v>274</v>
      </c>
      <c r="C80" s="43">
        <v>2025.4</v>
      </c>
      <c r="D80" s="5">
        <f t="shared" si="28"/>
        <v>8.9</v>
      </c>
      <c r="E80" s="5"/>
      <c r="F80" s="7">
        <f t="shared" si="29"/>
        <v>3.0999999999999996</v>
      </c>
      <c r="G80" s="2"/>
      <c r="H80" s="2">
        <f t="shared" si="49"/>
        <v>0</v>
      </c>
      <c r="I80" s="2"/>
      <c r="J80" s="2">
        <f t="shared" si="34"/>
        <v>0</v>
      </c>
      <c r="K80" s="2"/>
      <c r="L80" s="2">
        <f t="shared" si="35"/>
        <v>0</v>
      </c>
      <c r="M80" s="2">
        <v>2.06</v>
      </c>
      <c r="N80" s="2">
        <f t="shared" si="36"/>
        <v>50067.888000000006</v>
      </c>
      <c r="O80" s="199">
        <f>0.31-0.07</f>
        <v>0.24</v>
      </c>
      <c r="P80" s="2">
        <f t="shared" si="37"/>
        <v>5833.152</v>
      </c>
      <c r="Q80" s="2"/>
      <c r="R80" s="2">
        <f t="shared" si="38"/>
        <v>0</v>
      </c>
      <c r="S80" s="2">
        <v>0.5</v>
      </c>
      <c r="T80" s="21">
        <f t="shared" si="39"/>
        <v>12152.400000000001</v>
      </c>
      <c r="U80" s="2">
        <v>0.3</v>
      </c>
      <c r="V80" s="21">
        <f t="shared" si="40"/>
        <v>7291.4400000000005</v>
      </c>
      <c r="W80" s="6"/>
      <c r="X80" s="4" t="s">
        <v>274</v>
      </c>
      <c r="Y80" s="43">
        <v>2025.4</v>
      </c>
      <c r="Z80" s="32">
        <f t="shared" si="41"/>
        <v>4.7</v>
      </c>
      <c r="AA80" s="2">
        <v>1.5</v>
      </c>
      <c r="AB80" s="21">
        <f t="shared" si="42"/>
        <v>36457.200000000004</v>
      </c>
      <c r="AC80" s="199">
        <f>1-0.1</f>
        <v>0.9</v>
      </c>
      <c r="AD80" s="21">
        <f t="shared" si="31"/>
        <v>21874.32</v>
      </c>
      <c r="AE80" s="2">
        <v>1</v>
      </c>
      <c r="AF80" s="21">
        <f t="shared" si="26"/>
        <v>24304.800000000003</v>
      </c>
      <c r="AG80" s="2">
        <v>1</v>
      </c>
      <c r="AH80" s="21">
        <f t="shared" si="32"/>
        <v>24304.800000000003</v>
      </c>
      <c r="AI80" s="2">
        <v>0.3</v>
      </c>
      <c r="AJ80" s="21">
        <f t="shared" si="33"/>
        <v>7291.4400000000005</v>
      </c>
      <c r="AK80" s="32">
        <f t="shared" si="43"/>
        <v>0.5</v>
      </c>
      <c r="AL80" s="6">
        <v>0.5</v>
      </c>
      <c r="AM80" s="21">
        <f t="shared" si="44"/>
        <v>12152.400000000001</v>
      </c>
      <c r="AN80" s="6"/>
      <c r="AO80" s="21">
        <f t="shared" si="45"/>
        <v>0</v>
      </c>
      <c r="AP80" s="197"/>
      <c r="AQ80" s="21">
        <f t="shared" si="46"/>
        <v>0</v>
      </c>
      <c r="AR80" s="6"/>
      <c r="AS80" s="21">
        <f t="shared" si="47"/>
        <v>0</v>
      </c>
      <c r="AT80" s="6"/>
      <c r="AU80" s="21">
        <f t="shared" si="48"/>
        <v>0</v>
      </c>
      <c r="AV80" s="16">
        <v>0.6</v>
      </c>
    </row>
    <row r="81" spans="1:48" ht="12.75">
      <c r="A81" s="6">
        <f>A78+1</f>
        <v>21</v>
      </c>
      <c r="B81" s="3" t="s">
        <v>176</v>
      </c>
      <c r="C81" s="168">
        <v>1258.3</v>
      </c>
      <c r="D81" s="5">
        <f t="shared" si="28"/>
        <v>6.25</v>
      </c>
      <c r="E81" s="5"/>
      <c r="F81" s="7">
        <f t="shared" si="29"/>
        <v>1.71</v>
      </c>
      <c r="G81" s="2">
        <v>1</v>
      </c>
      <c r="H81" s="2">
        <f t="shared" si="49"/>
        <v>15099.599999999999</v>
      </c>
      <c r="I81" s="2"/>
      <c r="J81" s="2">
        <f t="shared" si="34"/>
        <v>0</v>
      </c>
      <c r="K81" s="2"/>
      <c r="L81" s="2">
        <f t="shared" si="35"/>
        <v>0</v>
      </c>
      <c r="M81" s="2"/>
      <c r="N81" s="2">
        <f t="shared" si="36"/>
        <v>0</v>
      </c>
      <c r="O81" s="2"/>
      <c r="P81" s="2">
        <f t="shared" si="37"/>
        <v>0</v>
      </c>
      <c r="Q81" s="2"/>
      <c r="R81" s="2">
        <f t="shared" si="38"/>
        <v>0</v>
      </c>
      <c r="S81" s="2">
        <v>0.4</v>
      </c>
      <c r="T81" s="21">
        <f t="shared" si="39"/>
        <v>6039.84</v>
      </c>
      <c r="U81" s="2">
        <v>0.31</v>
      </c>
      <c r="V81" s="21">
        <f t="shared" si="40"/>
        <v>4680.876</v>
      </c>
      <c r="W81" s="6">
        <f>W78+1</f>
        <v>21</v>
      </c>
      <c r="X81" s="3" t="s">
        <v>176</v>
      </c>
      <c r="Y81" s="168">
        <v>1258.3</v>
      </c>
      <c r="Z81" s="32">
        <f t="shared" si="41"/>
        <v>3.1</v>
      </c>
      <c r="AA81" s="2">
        <v>1</v>
      </c>
      <c r="AB81" s="21">
        <f t="shared" si="42"/>
        <v>15099.599999999999</v>
      </c>
      <c r="AC81" s="2">
        <v>0.6</v>
      </c>
      <c r="AD81" s="21">
        <f t="shared" si="31"/>
        <v>9059.759999999998</v>
      </c>
      <c r="AE81" s="2">
        <v>0.6</v>
      </c>
      <c r="AF81" s="21">
        <f t="shared" si="26"/>
        <v>9059.759999999998</v>
      </c>
      <c r="AG81" s="2">
        <v>0.6</v>
      </c>
      <c r="AH81" s="21">
        <f t="shared" si="32"/>
        <v>9059.759999999998</v>
      </c>
      <c r="AI81" s="2">
        <v>0.3</v>
      </c>
      <c r="AJ81" s="21">
        <f t="shared" si="33"/>
        <v>4529.879999999999</v>
      </c>
      <c r="AK81" s="32">
        <f t="shared" si="43"/>
        <v>1.44</v>
      </c>
      <c r="AL81" s="6">
        <v>0.3</v>
      </c>
      <c r="AM81" s="21">
        <f t="shared" si="44"/>
        <v>4529.879999999999</v>
      </c>
      <c r="AN81" s="6"/>
      <c r="AO81" s="21">
        <f t="shared" si="45"/>
        <v>0</v>
      </c>
      <c r="AP81" s="197"/>
      <c r="AQ81" s="21">
        <f t="shared" si="46"/>
        <v>0</v>
      </c>
      <c r="AR81" s="6">
        <v>0.34</v>
      </c>
      <c r="AS81" s="21">
        <f t="shared" si="47"/>
        <v>5133.864</v>
      </c>
      <c r="AT81" s="6">
        <v>0.8</v>
      </c>
      <c r="AU81" s="21">
        <f t="shared" si="48"/>
        <v>12079.68</v>
      </c>
      <c r="AV81" s="16"/>
    </row>
    <row r="82" spans="1:48" ht="12.75">
      <c r="A82" s="6">
        <f aca="true" t="shared" si="50" ref="A82:A144">A81+1</f>
        <v>22</v>
      </c>
      <c r="B82" s="3" t="s">
        <v>177</v>
      </c>
      <c r="C82" s="80">
        <v>6215.6</v>
      </c>
      <c r="D82" s="5">
        <f t="shared" si="28"/>
        <v>5.34</v>
      </c>
      <c r="E82" s="5"/>
      <c r="F82" s="7">
        <f t="shared" si="29"/>
        <v>1.37</v>
      </c>
      <c r="G82" s="2">
        <v>0.6</v>
      </c>
      <c r="H82" s="2">
        <f t="shared" si="49"/>
        <v>44752.32</v>
      </c>
      <c r="I82" s="2"/>
      <c r="J82" s="2">
        <f t="shared" si="34"/>
        <v>0</v>
      </c>
      <c r="K82" s="2"/>
      <c r="L82" s="2">
        <f t="shared" si="35"/>
        <v>0</v>
      </c>
      <c r="M82" s="2"/>
      <c r="N82" s="2">
        <f t="shared" si="36"/>
        <v>0</v>
      </c>
      <c r="O82" s="2"/>
      <c r="P82" s="2">
        <f t="shared" si="37"/>
        <v>0</v>
      </c>
      <c r="Q82" s="2"/>
      <c r="R82" s="2">
        <f t="shared" si="38"/>
        <v>0</v>
      </c>
      <c r="S82" s="2">
        <v>0.4</v>
      </c>
      <c r="T82" s="21">
        <f t="shared" si="39"/>
        <v>29834.880000000005</v>
      </c>
      <c r="U82" s="2">
        <v>0.37</v>
      </c>
      <c r="V82" s="21">
        <f t="shared" si="40"/>
        <v>27597.264</v>
      </c>
      <c r="W82" s="6">
        <f aca="true" t="shared" si="51" ref="W82:W102">W81+1</f>
        <v>22</v>
      </c>
      <c r="X82" s="3" t="s">
        <v>177</v>
      </c>
      <c r="Y82" s="80">
        <v>6215.6</v>
      </c>
      <c r="Z82" s="32">
        <f t="shared" si="41"/>
        <v>2.17</v>
      </c>
      <c r="AA82" s="2">
        <v>0.5</v>
      </c>
      <c r="AB82" s="21">
        <f t="shared" si="42"/>
        <v>37293.600000000006</v>
      </c>
      <c r="AC82" s="2">
        <v>0.47</v>
      </c>
      <c r="AD82" s="21">
        <f t="shared" si="31"/>
        <v>35055.984</v>
      </c>
      <c r="AE82" s="2">
        <v>0.4</v>
      </c>
      <c r="AF82" s="21">
        <f t="shared" si="26"/>
        <v>29834.880000000005</v>
      </c>
      <c r="AG82" s="2">
        <v>0.5</v>
      </c>
      <c r="AH82" s="21">
        <f t="shared" si="32"/>
        <v>37293.600000000006</v>
      </c>
      <c r="AI82" s="2">
        <v>0.3</v>
      </c>
      <c r="AJ82" s="21">
        <f t="shared" si="33"/>
        <v>22376.16</v>
      </c>
      <c r="AK82" s="32">
        <f t="shared" si="43"/>
        <v>1.8</v>
      </c>
      <c r="AL82" s="6"/>
      <c r="AM82" s="21">
        <f t="shared" si="44"/>
        <v>0</v>
      </c>
      <c r="AN82" s="6">
        <v>1.8</v>
      </c>
      <c r="AO82" s="21">
        <f t="shared" si="45"/>
        <v>134256.96000000002</v>
      </c>
      <c r="AP82" s="197"/>
      <c r="AQ82" s="21">
        <f t="shared" si="46"/>
        <v>0</v>
      </c>
      <c r="AR82" s="6"/>
      <c r="AS82" s="21">
        <f t="shared" si="47"/>
        <v>0</v>
      </c>
      <c r="AT82" s="6"/>
      <c r="AU82" s="21">
        <f t="shared" si="48"/>
        <v>0</v>
      </c>
      <c r="AV82" s="16"/>
    </row>
    <row r="83" spans="1:48" ht="12.75">
      <c r="A83" s="6">
        <f t="shared" si="50"/>
        <v>23</v>
      </c>
      <c r="B83" s="3" t="s">
        <v>178</v>
      </c>
      <c r="C83" s="80">
        <v>1253.4</v>
      </c>
      <c r="D83" s="5">
        <f t="shared" si="28"/>
        <v>5.9399999999999995</v>
      </c>
      <c r="E83" s="5"/>
      <c r="F83" s="7">
        <f t="shared" si="29"/>
        <v>4.6899999999999995</v>
      </c>
      <c r="G83" s="2">
        <v>1</v>
      </c>
      <c r="H83" s="2">
        <f t="shared" si="49"/>
        <v>15040.800000000001</v>
      </c>
      <c r="I83" s="2">
        <v>2.6</v>
      </c>
      <c r="J83" s="2">
        <f t="shared" si="34"/>
        <v>39106.08</v>
      </c>
      <c r="K83" s="2"/>
      <c r="L83" s="2">
        <f t="shared" si="35"/>
        <v>0</v>
      </c>
      <c r="M83" s="2"/>
      <c r="N83" s="2">
        <f t="shared" si="36"/>
        <v>0</v>
      </c>
      <c r="O83" s="2">
        <f>0.19+0.15</f>
        <v>0.33999999999999997</v>
      </c>
      <c r="P83" s="2">
        <f t="shared" si="37"/>
        <v>5113.872</v>
      </c>
      <c r="Q83" s="2"/>
      <c r="R83" s="2">
        <f t="shared" si="38"/>
        <v>0</v>
      </c>
      <c r="S83" s="2">
        <v>0.5</v>
      </c>
      <c r="T83" s="21">
        <f t="shared" si="39"/>
        <v>7520.400000000001</v>
      </c>
      <c r="U83" s="2">
        <v>0.25</v>
      </c>
      <c r="V83" s="21">
        <f t="shared" si="40"/>
        <v>3760.2000000000003</v>
      </c>
      <c r="W83" s="6">
        <f t="shared" si="51"/>
        <v>23</v>
      </c>
      <c r="X83" s="3" t="s">
        <v>178</v>
      </c>
      <c r="Y83" s="80">
        <v>1253.4</v>
      </c>
      <c r="Z83" s="32">
        <f t="shared" si="41"/>
        <v>0.55</v>
      </c>
      <c r="AA83" s="2">
        <v>0.1</v>
      </c>
      <c r="AB83" s="21">
        <f t="shared" si="42"/>
        <v>1504.0800000000002</v>
      </c>
      <c r="AC83" s="2">
        <v>0.1</v>
      </c>
      <c r="AD83" s="21">
        <f t="shared" si="31"/>
        <v>1504.0800000000002</v>
      </c>
      <c r="AE83" s="2">
        <v>0.1</v>
      </c>
      <c r="AF83" s="21">
        <f t="shared" si="26"/>
        <v>1504.0800000000002</v>
      </c>
      <c r="AG83" s="2">
        <v>0.1</v>
      </c>
      <c r="AH83" s="21">
        <f t="shared" si="32"/>
        <v>1504.0800000000002</v>
      </c>
      <c r="AI83" s="2">
        <v>0.15</v>
      </c>
      <c r="AJ83" s="21">
        <f t="shared" si="33"/>
        <v>2256.1200000000003</v>
      </c>
      <c r="AK83" s="32">
        <f t="shared" si="43"/>
        <v>0.7</v>
      </c>
      <c r="AL83" s="6">
        <v>0.5</v>
      </c>
      <c r="AM83" s="21">
        <f t="shared" si="44"/>
        <v>7520.400000000001</v>
      </c>
      <c r="AN83" s="6"/>
      <c r="AO83" s="21">
        <f t="shared" si="45"/>
        <v>0</v>
      </c>
      <c r="AP83" s="197"/>
      <c r="AQ83" s="21">
        <f t="shared" si="46"/>
        <v>0</v>
      </c>
      <c r="AR83" s="6">
        <v>0.2</v>
      </c>
      <c r="AS83" s="21">
        <f t="shared" si="47"/>
        <v>3008.1600000000003</v>
      </c>
      <c r="AT83" s="6"/>
      <c r="AU83" s="21">
        <f t="shared" si="48"/>
        <v>0</v>
      </c>
      <c r="AV83" s="16"/>
    </row>
    <row r="84" spans="1:48" ht="12.75">
      <c r="A84" s="6">
        <f t="shared" si="50"/>
        <v>24</v>
      </c>
      <c r="B84" s="3" t="s">
        <v>179</v>
      </c>
      <c r="C84" s="80">
        <v>1950.3</v>
      </c>
      <c r="D84" s="5">
        <f t="shared" si="28"/>
        <v>5.960000000000001</v>
      </c>
      <c r="E84" s="5"/>
      <c r="F84" s="7">
        <f t="shared" si="29"/>
        <v>0.98</v>
      </c>
      <c r="G84" s="2">
        <v>0.5</v>
      </c>
      <c r="H84" s="2">
        <f t="shared" si="49"/>
        <v>11701.8</v>
      </c>
      <c r="I84" s="2">
        <v>0.12</v>
      </c>
      <c r="J84" s="2">
        <f t="shared" si="34"/>
        <v>2808.432</v>
      </c>
      <c r="K84" s="2"/>
      <c r="L84" s="2">
        <f t="shared" si="35"/>
        <v>0</v>
      </c>
      <c r="M84" s="2"/>
      <c r="N84" s="2">
        <f t="shared" si="36"/>
        <v>0</v>
      </c>
      <c r="O84" s="2"/>
      <c r="P84" s="2">
        <f t="shared" si="37"/>
        <v>0</v>
      </c>
      <c r="Q84" s="2"/>
      <c r="R84" s="2">
        <f t="shared" si="38"/>
        <v>0</v>
      </c>
      <c r="S84" s="2">
        <v>0.22</v>
      </c>
      <c r="T84" s="21">
        <f t="shared" si="39"/>
        <v>5148.7919999999995</v>
      </c>
      <c r="U84" s="2">
        <v>0.14</v>
      </c>
      <c r="V84" s="21">
        <f t="shared" si="40"/>
        <v>3276.5040000000004</v>
      </c>
      <c r="W84" s="6">
        <f t="shared" si="51"/>
        <v>24</v>
      </c>
      <c r="X84" s="3" t="s">
        <v>179</v>
      </c>
      <c r="Y84" s="80">
        <v>1950.3</v>
      </c>
      <c r="Z84" s="32">
        <f t="shared" si="41"/>
        <v>2.74</v>
      </c>
      <c r="AA84" s="2">
        <v>0.5</v>
      </c>
      <c r="AB84" s="21">
        <f t="shared" si="42"/>
        <v>11701.8</v>
      </c>
      <c r="AC84" s="2">
        <v>0.6</v>
      </c>
      <c r="AD84" s="21">
        <f t="shared" si="31"/>
        <v>14042.159999999998</v>
      </c>
      <c r="AE84" s="2">
        <v>0.6</v>
      </c>
      <c r="AF84" s="21">
        <f t="shared" si="26"/>
        <v>14042.159999999998</v>
      </c>
      <c r="AG84" s="2">
        <v>0.9</v>
      </c>
      <c r="AH84" s="21">
        <f t="shared" si="32"/>
        <v>21063.239999999998</v>
      </c>
      <c r="AI84" s="2">
        <v>0.14</v>
      </c>
      <c r="AJ84" s="21">
        <f t="shared" si="33"/>
        <v>3276.5040000000004</v>
      </c>
      <c r="AK84" s="32">
        <f t="shared" si="43"/>
        <v>2.24</v>
      </c>
      <c r="AL84" s="6"/>
      <c r="AM84" s="21">
        <f t="shared" si="44"/>
        <v>0</v>
      </c>
      <c r="AN84" s="6">
        <v>1.44</v>
      </c>
      <c r="AO84" s="21">
        <f t="shared" si="45"/>
        <v>33701.183999999994</v>
      </c>
      <c r="AP84" s="197"/>
      <c r="AQ84" s="21">
        <f t="shared" si="46"/>
        <v>0</v>
      </c>
      <c r="AR84" s="6"/>
      <c r="AS84" s="21">
        <f t="shared" si="47"/>
        <v>0</v>
      </c>
      <c r="AT84" s="6">
        <v>0.8</v>
      </c>
      <c r="AU84" s="21">
        <f t="shared" si="48"/>
        <v>18722.88</v>
      </c>
      <c r="AV84" s="16"/>
    </row>
    <row r="85" spans="1:48" ht="12.75">
      <c r="A85" s="6">
        <f t="shared" si="50"/>
        <v>25</v>
      </c>
      <c r="B85" s="3" t="s">
        <v>180</v>
      </c>
      <c r="C85" s="80">
        <v>1952.1</v>
      </c>
      <c r="D85" s="5">
        <f t="shared" si="28"/>
        <v>5.9399999999999995</v>
      </c>
      <c r="E85" s="5"/>
      <c r="F85" s="7">
        <f t="shared" si="29"/>
        <v>1.8399999999999999</v>
      </c>
      <c r="G85" s="2">
        <f>0.2+0.2</f>
        <v>0.4</v>
      </c>
      <c r="H85" s="2">
        <f t="shared" si="49"/>
        <v>9370.08</v>
      </c>
      <c r="I85" s="2">
        <f>0.23+0.5</f>
        <v>0.73</v>
      </c>
      <c r="J85" s="2">
        <f t="shared" si="34"/>
        <v>17100.396</v>
      </c>
      <c r="K85" s="2"/>
      <c r="L85" s="2">
        <f t="shared" si="35"/>
        <v>0</v>
      </c>
      <c r="M85" s="2"/>
      <c r="N85" s="2">
        <f t="shared" si="36"/>
        <v>0</v>
      </c>
      <c r="O85" s="2">
        <v>0.1</v>
      </c>
      <c r="P85" s="2">
        <f t="shared" si="37"/>
        <v>2342.52</v>
      </c>
      <c r="Q85" s="2"/>
      <c r="R85" s="2">
        <f t="shared" si="38"/>
        <v>0</v>
      </c>
      <c r="S85" s="2">
        <v>0.36</v>
      </c>
      <c r="T85" s="21">
        <f t="shared" si="39"/>
        <v>8433.072</v>
      </c>
      <c r="U85" s="2">
        <v>0.25</v>
      </c>
      <c r="V85" s="21">
        <f t="shared" si="40"/>
        <v>5856.299999999999</v>
      </c>
      <c r="W85" s="6">
        <f t="shared" si="51"/>
        <v>25</v>
      </c>
      <c r="X85" s="3" t="s">
        <v>180</v>
      </c>
      <c r="Y85" s="80">
        <v>1952.1</v>
      </c>
      <c r="Z85" s="32">
        <f t="shared" si="41"/>
        <v>2.8</v>
      </c>
      <c r="AA85" s="2">
        <v>0.5</v>
      </c>
      <c r="AB85" s="21">
        <f t="shared" si="42"/>
        <v>11712.599999999999</v>
      </c>
      <c r="AC85" s="2">
        <v>0.8</v>
      </c>
      <c r="AD85" s="21">
        <f t="shared" si="31"/>
        <v>18740.16</v>
      </c>
      <c r="AE85" s="2">
        <v>0.8</v>
      </c>
      <c r="AF85" s="21">
        <f t="shared" si="26"/>
        <v>18740.16</v>
      </c>
      <c r="AG85" s="2">
        <v>0.4</v>
      </c>
      <c r="AH85" s="21">
        <f t="shared" si="32"/>
        <v>9370.08</v>
      </c>
      <c r="AI85" s="2">
        <v>0.3</v>
      </c>
      <c r="AJ85" s="21">
        <f t="shared" si="33"/>
        <v>7027.5599999999995</v>
      </c>
      <c r="AK85" s="32">
        <f t="shared" si="43"/>
        <v>1.3</v>
      </c>
      <c r="AL85" s="6"/>
      <c r="AM85" s="21">
        <f t="shared" si="44"/>
        <v>0</v>
      </c>
      <c r="AN85" s="6"/>
      <c r="AO85" s="21">
        <f t="shared" si="45"/>
        <v>0</v>
      </c>
      <c r="AP85" s="197"/>
      <c r="AQ85" s="21">
        <f t="shared" si="46"/>
        <v>0</v>
      </c>
      <c r="AR85" s="6">
        <v>0.5</v>
      </c>
      <c r="AS85" s="21">
        <f t="shared" si="47"/>
        <v>11712.599999999999</v>
      </c>
      <c r="AT85" s="6">
        <v>0.8</v>
      </c>
      <c r="AU85" s="21">
        <f t="shared" si="48"/>
        <v>18740.16</v>
      </c>
      <c r="AV85" s="16"/>
    </row>
    <row r="86" spans="1:48" ht="12.75">
      <c r="A86" s="6">
        <f t="shared" si="50"/>
        <v>26</v>
      </c>
      <c r="B86" s="3" t="s">
        <v>181</v>
      </c>
      <c r="C86" s="80">
        <v>2002.4</v>
      </c>
      <c r="D86" s="5">
        <f t="shared" si="28"/>
        <v>5.9799999999999995</v>
      </c>
      <c r="E86" s="5"/>
      <c r="F86" s="7">
        <f t="shared" si="29"/>
        <v>2.53</v>
      </c>
      <c r="G86" s="2">
        <v>0.97</v>
      </c>
      <c r="H86" s="2">
        <f t="shared" si="49"/>
        <v>23307.936</v>
      </c>
      <c r="I86" s="2">
        <v>1</v>
      </c>
      <c r="J86" s="2">
        <f t="shared" si="34"/>
        <v>24028.800000000003</v>
      </c>
      <c r="K86" s="2"/>
      <c r="L86" s="2">
        <f t="shared" si="35"/>
        <v>0</v>
      </c>
      <c r="M86" s="2"/>
      <c r="N86" s="2">
        <f t="shared" si="36"/>
        <v>0</v>
      </c>
      <c r="O86" s="2"/>
      <c r="P86" s="2">
        <f t="shared" si="37"/>
        <v>0</v>
      </c>
      <c r="Q86" s="2"/>
      <c r="R86" s="2">
        <f t="shared" si="38"/>
        <v>0</v>
      </c>
      <c r="S86" s="2">
        <v>0.26</v>
      </c>
      <c r="T86" s="21">
        <f t="shared" si="39"/>
        <v>6247.488</v>
      </c>
      <c r="U86" s="2">
        <v>0.3</v>
      </c>
      <c r="V86" s="21">
        <f t="shared" si="40"/>
        <v>7208.64</v>
      </c>
      <c r="W86" s="6">
        <f t="shared" si="51"/>
        <v>26</v>
      </c>
      <c r="X86" s="3" t="s">
        <v>181</v>
      </c>
      <c r="Y86" s="80">
        <v>2002.4</v>
      </c>
      <c r="Z86" s="32">
        <f t="shared" si="41"/>
        <v>1.95</v>
      </c>
      <c r="AA86" s="2">
        <v>0.5</v>
      </c>
      <c r="AB86" s="21">
        <f t="shared" si="42"/>
        <v>12014.400000000001</v>
      </c>
      <c r="AC86" s="2">
        <v>0.4</v>
      </c>
      <c r="AD86" s="21">
        <f t="shared" si="31"/>
        <v>9611.52</v>
      </c>
      <c r="AE86" s="2">
        <v>0.4</v>
      </c>
      <c r="AF86" s="21">
        <f t="shared" si="26"/>
        <v>9611.52</v>
      </c>
      <c r="AG86" s="2">
        <v>0.35</v>
      </c>
      <c r="AH86" s="21">
        <f t="shared" si="32"/>
        <v>8410.08</v>
      </c>
      <c r="AI86" s="2">
        <v>0.3</v>
      </c>
      <c r="AJ86" s="21">
        <f t="shared" si="33"/>
        <v>7208.64</v>
      </c>
      <c r="AK86" s="32">
        <f t="shared" si="43"/>
        <v>1</v>
      </c>
      <c r="AL86" s="6">
        <v>0.2</v>
      </c>
      <c r="AM86" s="21">
        <f t="shared" si="44"/>
        <v>4805.76</v>
      </c>
      <c r="AN86" s="6"/>
      <c r="AO86" s="21">
        <f t="shared" si="45"/>
        <v>0</v>
      </c>
      <c r="AP86" s="197"/>
      <c r="AQ86" s="21">
        <f t="shared" si="46"/>
        <v>0</v>
      </c>
      <c r="AR86" s="6"/>
      <c r="AS86" s="21">
        <f t="shared" si="47"/>
        <v>0</v>
      </c>
      <c r="AT86" s="6">
        <v>0.8</v>
      </c>
      <c r="AU86" s="21">
        <f t="shared" si="48"/>
        <v>19223.04</v>
      </c>
      <c r="AV86" s="16">
        <v>0.5</v>
      </c>
    </row>
    <row r="87" spans="1:48" ht="12.75">
      <c r="A87" s="6">
        <f t="shared" si="50"/>
        <v>27</v>
      </c>
      <c r="B87" s="3" t="s">
        <v>182</v>
      </c>
      <c r="C87" s="80">
        <v>2240.1</v>
      </c>
      <c r="D87" s="5">
        <f t="shared" si="28"/>
        <v>5.880000000000001</v>
      </c>
      <c r="E87" s="5"/>
      <c r="F87" s="7">
        <f t="shared" si="29"/>
        <v>4.07</v>
      </c>
      <c r="G87" s="2">
        <v>0.32</v>
      </c>
      <c r="H87" s="2">
        <f t="shared" si="49"/>
        <v>8601.984</v>
      </c>
      <c r="I87" s="2"/>
      <c r="J87" s="2">
        <f t="shared" si="34"/>
        <v>0</v>
      </c>
      <c r="K87" s="2"/>
      <c r="L87" s="2">
        <f t="shared" si="35"/>
        <v>0</v>
      </c>
      <c r="M87" s="2">
        <v>3.54</v>
      </c>
      <c r="N87" s="2">
        <f t="shared" si="36"/>
        <v>95159.448</v>
      </c>
      <c r="O87" s="2"/>
      <c r="P87" s="2">
        <f t="shared" si="37"/>
        <v>0</v>
      </c>
      <c r="Q87" s="2"/>
      <c r="R87" s="2">
        <f t="shared" si="38"/>
        <v>0</v>
      </c>
      <c r="S87" s="2">
        <v>0.1</v>
      </c>
      <c r="T87" s="21">
        <f t="shared" si="39"/>
        <v>2688.12</v>
      </c>
      <c r="U87" s="2">
        <v>0.11</v>
      </c>
      <c r="V87" s="21">
        <f t="shared" si="40"/>
        <v>2956.932</v>
      </c>
      <c r="W87" s="6">
        <f t="shared" si="51"/>
        <v>27</v>
      </c>
      <c r="X87" s="3" t="s">
        <v>182</v>
      </c>
      <c r="Y87" s="80">
        <v>2240.1</v>
      </c>
      <c r="Z87" s="32">
        <f t="shared" si="41"/>
        <v>1.8100000000000003</v>
      </c>
      <c r="AA87" s="2">
        <v>0.4</v>
      </c>
      <c r="AB87" s="21">
        <f t="shared" si="42"/>
        <v>10752.48</v>
      </c>
      <c r="AC87" s="2">
        <v>0.4</v>
      </c>
      <c r="AD87" s="21">
        <f t="shared" si="31"/>
        <v>10752.48</v>
      </c>
      <c r="AE87" s="2">
        <v>0.4</v>
      </c>
      <c r="AF87" s="21">
        <f t="shared" si="26"/>
        <v>10752.48</v>
      </c>
      <c r="AG87" s="2">
        <v>0.5</v>
      </c>
      <c r="AH87" s="21">
        <f t="shared" si="32"/>
        <v>13440.599999999999</v>
      </c>
      <c r="AI87" s="2">
        <v>0.11</v>
      </c>
      <c r="AJ87" s="21">
        <f t="shared" si="33"/>
        <v>2956.932</v>
      </c>
      <c r="AK87" s="32">
        <f t="shared" si="43"/>
        <v>0</v>
      </c>
      <c r="AL87" s="6"/>
      <c r="AM87" s="21">
        <f t="shared" si="44"/>
        <v>0</v>
      </c>
      <c r="AN87" s="6"/>
      <c r="AO87" s="21">
        <f t="shared" si="45"/>
        <v>0</v>
      </c>
      <c r="AP87" s="197"/>
      <c r="AQ87" s="21">
        <f t="shared" si="46"/>
        <v>0</v>
      </c>
      <c r="AR87" s="6"/>
      <c r="AS87" s="21">
        <f t="shared" si="47"/>
        <v>0</v>
      </c>
      <c r="AT87" s="6"/>
      <c r="AU87" s="21">
        <f t="shared" si="48"/>
        <v>0</v>
      </c>
      <c r="AV87" s="16"/>
    </row>
    <row r="88" spans="1:48" ht="12.75">
      <c r="A88" s="6">
        <f t="shared" si="50"/>
        <v>28</v>
      </c>
      <c r="B88" s="3" t="s">
        <v>183</v>
      </c>
      <c r="C88" s="80">
        <v>2058.4</v>
      </c>
      <c r="D88" s="5">
        <f t="shared" si="28"/>
        <v>5.84</v>
      </c>
      <c r="E88" s="5"/>
      <c r="F88" s="7">
        <f t="shared" si="29"/>
        <v>1.04</v>
      </c>
      <c r="G88" s="2">
        <v>0.34</v>
      </c>
      <c r="H88" s="2">
        <f t="shared" si="49"/>
        <v>8398.272</v>
      </c>
      <c r="I88" s="2"/>
      <c r="J88" s="2">
        <f t="shared" si="34"/>
        <v>0</v>
      </c>
      <c r="K88" s="2"/>
      <c r="L88" s="2">
        <f t="shared" si="35"/>
        <v>0</v>
      </c>
      <c r="M88" s="2"/>
      <c r="N88" s="2">
        <f t="shared" si="36"/>
        <v>0</v>
      </c>
      <c r="O88" s="2"/>
      <c r="P88" s="2">
        <f t="shared" si="37"/>
        <v>0</v>
      </c>
      <c r="Q88" s="2"/>
      <c r="R88" s="2">
        <f t="shared" si="38"/>
        <v>0</v>
      </c>
      <c r="S88" s="2">
        <v>0.4</v>
      </c>
      <c r="T88" s="21">
        <f t="shared" si="39"/>
        <v>9880.320000000002</v>
      </c>
      <c r="U88" s="2">
        <v>0.3</v>
      </c>
      <c r="V88" s="21">
        <f t="shared" si="40"/>
        <v>7410.24</v>
      </c>
      <c r="W88" s="6">
        <f t="shared" si="51"/>
        <v>28</v>
      </c>
      <c r="X88" s="3" t="s">
        <v>183</v>
      </c>
      <c r="Y88" s="80">
        <v>2058.4</v>
      </c>
      <c r="Z88" s="32">
        <f t="shared" si="41"/>
        <v>2.6999999999999997</v>
      </c>
      <c r="AA88" s="2">
        <v>0.8</v>
      </c>
      <c r="AB88" s="21">
        <f t="shared" si="42"/>
        <v>19760.640000000003</v>
      </c>
      <c r="AC88" s="2">
        <v>0.6</v>
      </c>
      <c r="AD88" s="21">
        <f t="shared" si="31"/>
        <v>14820.48</v>
      </c>
      <c r="AE88" s="2">
        <v>0.6</v>
      </c>
      <c r="AF88" s="21">
        <f t="shared" si="26"/>
        <v>14820.48</v>
      </c>
      <c r="AG88" s="2">
        <v>0.4</v>
      </c>
      <c r="AH88" s="21">
        <f t="shared" si="32"/>
        <v>9880.320000000002</v>
      </c>
      <c r="AI88" s="2">
        <v>0.3</v>
      </c>
      <c r="AJ88" s="21">
        <f t="shared" si="33"/>
        <v>7410.24</v>
      </c>
      <c r="AK88" s="32">
        <f t="shared" si="43"/>
        <v>1.1</v>
      </c>
      <c r="AL88" s="6">
        <v>0.3</v>
      </c>
      <c r="AM88" s="21">
        <f t="shared" si="44"/>
        <v>7410.24</v>
      </c>
      <c r="AN88" s="6"/>
      <c r="AO88" s="21">
        <f t="shared" si="45"/>
        <v>0</v>
      </c>
      <c r="AP88" s="197"/>
      <c r="AQ88" s="21">
        <f t="shared" si="46"/>
        <v>0</v>
      </c>
      <c r="AR88" s="6"/>
      <c r="AS88" s="21">
        <f t="shared" si="47"/>
        <v>0</v>
      </c>
      <c r="AT88" s="6">
        <v>0.8</v>
      </c>
      <c r="AU88" s="21">
        <f t="shared" si="48"/>
        <v>19760.640000000003</v>
      </c>
      <c r="AV88" s="16">
        <v>1</v>
      </c>
    </row>
    <row r="89" spans="1:48" ht="12.75">
      <c r="A89" s="6">
        <f t="shared" si="50"/>
        <v>29</v>
      </c>
      <c r="B89" s="3" t="s">
        <v>184</v>
      </c>
      <c r="C89" s="80">
        <v>2457.6</v>
      </c>
      <c r="D89" s="5">
        <f t="shared" si="28"/>
        <v>5.33</v>
      </c>
      <c r="E89" s="5"/>
      <c r="F89" s="7">
        <f t="shared" si="29"/>
        <v>1.51</v>
      </c>
      <c r="G89" s="2">
        <v>0.5</v>
      </c>
      <c r="H89" s="2">
        <f t="shared" si="49"/>
        <v>14745.599999999999</v>
      </c>
      <c r="I89" s="2"/>
      <c r="J89" s="2">
        <f t="shared" si="34"/>
        <v>0</v>
      </c>
      <c r="K89" s="2"/>
      <c r="L89" s="2">
        <f t="shared" si="35"/>
        <v>0</v>
      </c>
      <c r="M89" s="2"/>
      <c r="N89" s="2">
        <f t="shared" si="36"/>
        <v>0</v>
      </c>
      <c r="O89" s="2">
        <v>0.21</v>
      </c>
      <c r="P89" s="2">
        <f t="shared" si="37"/>
        <v>6193.152</v>
      </c>
      <c r="Q89" s="2"/>
      <c r="R89" s="2">
        <f t="shared" si="38"/>
        <v>0</v>
      </c>
      <c r="S89" s="2">
        <v>0.5</v>
      </c>
      <c r="T89" s="21">
        <f t="shared" si="39"/>
        <v>14745.599999999999</v>
      </c>
      <c r="U89" s="2">
        <v>0.3</v>
      </c>
      <c r="V89" s="21">
        <f t="shared" si="40"/>
        <v>8847.36</v>
      </c>
      <c r="W89" s="6">
        <f t="shared" si="51"/>
        <v>29</v>
      </c>
      <c r="X89" s="3" t="s">
        <v>184</v>
      </c>
      <c r="Y89" s="80">
        <v>2457.6</v>
      </c>
      <c r="Z89" s="32">
        <f t="shared" si="41"/>
        <v>2.17</v>
      </c>
      <c r="AA89" s="2">
        <v>0.77</v>
      </c>
      <c r="AB89" s="21">
        <f t="shared" si="42"/>
        <v>22708.224</v>
      </c>
      <c r="AC89" s="2">
        <v>0.3</v>
      </c>
      <c r="AD89" s="21">
        <f t="shared" si="31"/>
        <v>8847.36</v>
      </c>
      <c r="AE89" s="2">
        <v>0.3</v>
      </c>
      <c r="AF89" s="21">
        <f t="shared" si="26"/>
        <v>8847.36</v>
      </c>
      <c r="AG89" s="2">
        <v>0.5</v>
      </c>
      <c r="AH89" s="21">
        <f t="shared" si="32"/>
        <v>14745.599999999999</v>
      </c>
      <c r="AI89" s="2">
        <v>0.3</v>
      </c>
      <c r="AJ89" s="21">
        <f t="shared" si="33"/>
        <v>8847.36</v>
      </c>
      <c r="AK89" s="32">
        <f t="shared" si="43"/>
        <v>1.65</v>
      </c>
      <c r="AL89" s="6"/>
      <c r="AM89" s="21">
        <f t="shared" si="44"/>
        <v>0</v>
      </c>
      <c r="AN89" s="6">
        <v>1.65</v>
      </c>
      <c r="AO89" s="21">
        <f t="shared" si="45"/>
        <v>48660.479999999996</v>
      </c>
      <c r="AP89" s="197"/>
      <c r="AQ89" s="21">
        <f t="shared" si="46"/>
        <v>0</v>
      </c>
      <c r="AR89" s="6"/>
      <c r="AS89" s="21">
        <f t="shared" si="47"/>
        <v>0</v>
      </c>
      <c r="AT89" s="6"/>
      <c r="AU89" s="21">
        <f t="shared" si="48"/>
        <v>0</v>
      </c>
      <c r="AV89" s="16"/>
    </row>
    <row r="90" spans="1:48" ht="12.75">
      <c r="A90" s="6">
        <f t="shared" si="50"/>
        <v>30</v>
      </c>
      <c r="B90" s="3" t="s">
        <v>231</v>
      </c>
      <c r="C90" s="43">
        <v>1776.1</v>
      </c>
      <c r="D90" s="5">
        <f t="shared" si="28"/>
        <v>6.500000000000001</v>
      </c>
      <c r="E90" s="5"/>
      <c r="F90" s="7">
        <f t="shared" si="29"/>
        <v>1.9700000000000002</v>
      </c>
      <c r="G90" s="2">
        <v>0.5</v>
      </c>
      <c r="H90" s="2">
        <f t="shared" si="49"/>
        <v>10656.599999999999</v>
      </c>
      <c r="I90" s="2">
        <v>0.5</v>
      </c>
      <c r="J90" s="2">
        <f t="shared" si="34"/>
        <v>10656.599999999999</v>
      </c>
      <c r="K90" s="2"/>
      <c r="L90" s="2">
        <f t="shared" si="35"/>
        <v>0</v>
      </c>
      <c r="M90" s="2"/>
      <c r="N90" s="2">
        <f t="shared" si="36"/>
        <v>0</v>
      </c>
      <c r="O90" s="2"/>
      <c r="P90" s="2">
        <f t="shared" si="37"/>
        <v>0</v>
      </c>
      <c r="Q90" s="2">
        <v>0.6</v>
      </c>
      <c r="R90" s="2">
        <f t="shared" si="38"/>
        <v>12787.919999999998</v>
      </c>
      <c r="S90" s="2">
        <v>0.24</v>
      </c>
      <c r="T90" s="21">
        <f t="shared" si="39"/>
        <v>5115.168</v>
      </c>
      <c r="U90" s="2">
        <v>0.13</v>
      </c>
      <c r="V90" s="21">
        <f t="shared" si="40"/>
        <v>2770.716</v>
      </c>
      <c r="W90" s="6">
        <f t="shared" si="51"/>
        <v>30</v>
      </c>
      <c r="X90" s="3" t="s">
        <v>231</v>
      </c>
      <c r="Y90" s="43">
        <v>1776.1</v>
      </c>
      <c r="Z90" s="32">
        <f t="shared" si="41"/>
        <v>2.83</v>
      </c>
      <c r="AA90" s="2">
        <v>0.5</v>
      </c>
      <c r="AB90" s="21">
        <f t="shared" si="42"/>
        <v>10656.599999999999</v>
      </c>
      <c r="AC90" s="2">
        <v>0.8</v>
      </c>
      <c r="AD90" s="21">
        <f t="shared" si="31"/>
        <v>17050.56</v>
      </c>
      <c r="AE90" s="2">
        <v>0.7</v>
      </c>
      <c r="AF90" s="21">
        <f t="shared" si="26"/>
        <v>14919.239999999998</v>
      </c>
      <c r="AG90" s="2">
        <v>0.7</v>
      </c>
      <c r="AH90" s="21">
        <f t="shared" si="32"/>
        <v>14919.239999999998</v>
      </c>
      <c r="AI90" s="2">
        <v>0.13</v>
      </c>
      <c r="AJ90" s="21">
        <f t="shared" si="33"/>
        <v>2770.716</v>
      </c>
      <c r="AK90" s="32">
        <f t="shared" si="43"/>
        <v>1.7</v>
      </c>
      <c r="AL90" s="6">
        <v>0.15</v>
      </c>
      <c r="AM90" s="21">
        <f t="shared" si="44"/>
        <v>3196.9799999999996</v>
      </c>
      <c r="AN90" s="6">
        <v>1.55</v>
      </c>
      <c r="AO90" s="21">
        <f t="shared" si="45"/>
        <v>33035.46</v>
      </c>
      <c r="AP90" s="197"/>
      <c r="AQ90" s="21">
        <f t="shared" si="46"/>
        <v>0</v>
      </c>
      <c r="AR90" s="6"/>
      <c r="AS90" s="21">
        <f t="shared" si="47"/>
        <v>0</v>
      </c>
      <c r="AT90" s="6"/>
      <c r="AU90" s="21">
        <f t="shared" si="48"/>
        <v>0</v>
      </c>
      <c r="AV90" s="16"/>
    </row>
    <row r="91" spans="1:48" ht="12.75">
      <c r="A91" s="6">
        <f t="shared" si="50"/>
        <v>31</v>
      </c>
      <c r="B91" s="3" t="s">
        <v>101</v>
      </c>
      <c r="C91" s="43">
        <v>6290.3</v>
      </c>
      <c r="D91" s="5">
        <f t="shared" si="28"/>
        <v>5.279999999999999</v>
      </c>
      <c r="E91" s="5"/>
      <c r="F91" s="7">
        <f t="shared" si="29"/>
        <v>5.18</v>
      </c>
      <c r="G91" s="2">
        <v>0.64</v>
      </c>
      <c r="H91" s="2">
        <f t="shared" si="49"/>
        <v>48309.504</v>
      </c>
      <c r="I91" s="2">
        <v>1</v>
      </c>
      <c r="J91" s="2">
        <f t="shared" si="34"/>
        <v>75483.6</v>
      </c>
      <c r="K91" s="190">
        <v>0.24</v>
      </c>
      <c r="L91" s="2">
        <f t="shared" si="35"/>
        <v>18116.064</v>
      </c>
      <c r="M91" s="2">
        <v>3</v>
      </c>
      <c r="N91" s="2">
        <f t="shared" si="36"/>
        <v>226450.80000000002</v>
      </c>
      <c r="O91" s="190"/>
      <c r="P91" s="2">
        <f t="shared" si="37"/>
        <v>0</v>
      </c>
      <c r="Q91" s="190"/>
      <c r="R91" s="2">
        <f t="shared" si="38"/>
        <v>0</v>
      </c>
      <c r="S91" s="2">
        <v>0.2</v>
      </c>
      <c r="T91" s="21">
        <f t="shared" si="39"/>
        <v>15096.720000000001</v>
      </c>
      <c r="U91" s="2">
        <v>0.1</v>
      </c>
      <c r="V91" s="21">
        <f t="shared" si="40"/>
        <v>7548.360000000001</v>
      </c>
      <c r="W91" s="6">
        <f t="shared" si="51"/>
        <v>31</v>
      </c>
      <c r="X91" s="3" t="s">
        <v>101</v>
      </c>
      <c r="Y91" s="43">
        <v>6290.3</v>
      </c>
      <c r="Z91" s="32">
        <f t="shared" si="41"/>
        <v>0.1</v>
      </c>
      <c r="AA91" s="2"/>
      <c r="AB91" s="21">
        <f t="shared" si="42"/>
        <v>0</v>
      </c>
      <c r="AC91" s="2"/>
      <c r="AD91" s="21">
        <f t="shared" si="31"/>
        <v>0</v>
      </c>
      <c r="AE91" s="190"/>
      <c r="AF91" s="21">
        <f t="shared" si="26"/>
        <v>0</v>
      </c>
      <c r="AG91" s="190"/>
      <c r="AH91" s="21">
        <f t="shared" si="32"/>
        <v>0</v>
      </c>
      <c r="AI91" s="2">
        <v>0.1</v>
      </c>
      <c r="AJ91" s="21">
        <f t="shared" si="33"/>
        <v>7548.360000000001</v>
      </c>
      <c r="AK91" s="32">
        <f t="shared" si="43"/>
        <v>0</v>
      </c>
      <c r="AL91" s="190"/>
      <c r="AM91" s="21">
        <f t="shared" si="44"/>
        <v>0</v>
      </c>
      <c r="AN91" s="190"/>
      <c r="AO91" s="21">
        <f t="shared" si="45"/>
        <v>0</v>
      </c>
      <c r="AP91" s="190"/>
      <c r="AQ91" s="21">
        <f t="shared" si="46"/>
        <v>0</v>
      </c>
      <c r="AR91" s="190"/>
      <c r="AS91" s="21">
        <f t="shared" si="47"/>
        <v>0</v>
      </c>
      <c r="AT91" s="190"/>
      <c r="AU91" s="21">
        <f t="shared" si="48"/>
        <v>0</v>
      </c>
      <c r="AV91" s="16"/>
    </row>
    <row r="92" spans="1:48" ht="12.75">
      <c r="A92" s="6">
        <f t="shared" si="50"/>
        <v>32</v>
      </c>
      <c r="B92" s="3" t="s">
        <v>185</v>
      </c>
      <c r="C92" s="80">
        <v>958.9</v>
      </c>
      <c r="D92" s="5">
        <f t="shared" si="28"/>
        <v>5.27</v>
      </c>
      <c r="E92" s="5"/>
      <c r="F92" s="7">
        <f t="shared" si="29"/>
        <v>3.17</v>
      </c>
      <c r="G92" s="2">
        <v>0.7</v>
      </c>
      <c r="H92" s="2">
        <f t="shared" si="49"/>
        <v>8054.759999999998</v>
      </c>
      <c r="I92" s="2">
        <v>1.52</v>
      </c>
      <c r="J92" s="2">
        <f t="shared" si="34"/>
        <v>17490.336</v>
      </c>
      <c r="K92" s="2"/>
      <c r="L92" s="2">
        <f t="shared" si="35"/>
        <v>0</v>
      </c>
      <c r="M92" s="2"/>
      <c r="N92" s="2">
        <f t="shared" si="36"/>
        <v>0</v>
      </c>
      <c r="O92" s="2">
        <v>0.1</v>
      </c>
      <c r="P92" s="2">
        <f t="shared" si="37"/>
        <v>1150.68</v>
      </c>
      <c r="Q92" s="2"/>
      <c r="R92" s="2">
        <f t="shared" si="38"/>
        <v>0</v>
      </c>
      <c r="S92" s="2">
        <v>0.5</v>
      </c>
      <c r="T92" s="21">
        <f t="shared" si="39"/>
        <v>5753.4</v>
      </c>
      <c r="U92" s="2">
        <v>0.35</v>
      </c>
      <c r="V92" s="21">
        <f t="shared" si="40"/>
        <v>4027.379999999999</v>
      </c>
      <c r="W92" s="6">
        <f t="shared" si="51"/>
        <v>32</v>
      </c>
      <c r="X92" s="3" t="s">
        <v>185</v>
      </c>
      <c r="Y92" s="80">
        <v>958.9</v>
      </c>
      <c r="Z92" s="32">
        <f t="shared" si="41"/>
        <v>0.75</v>
      </c>
      <c r="AA92" s="2">
        <v>0.1</v>
      </c>
      <c r="AB92" s="21">
        <f t="shared" si="42"/>
        <v>1150.68</v>
      </c>
      <c r="AC92" s="2">
        <v>0.2</v>
      </c>
      <c r="AD92" s="21">
        <f t="shared" si="31"/>
        <v>2301.36</v>
      </c>
      <c r="AE92" s="2">
        <v>0.2</v>
      </c>
      <c r="AF92" s="21">
        <f t="shared" si="26"/>
        <v>2301.36</v>
      </c>
      <c r="AG92" s="2">
        <v>0.1</v>
      </c>
      <c r="AH92" s="21">
        <f t="shared" si="32"/>
        <v>1150.68</v>
      </c>
      <c r="AI92" s="2">
        <v>0.15</v>
      </c>
      <c r="AJ92" s="21">
        <f t="shared" si="33"/>
        <v>1726.0199999999998</v>
      </c>
      <c r="AK92" s="32">
        <f t="shared" si="43"/>
        <v>1.35</v>
      </c>
      <c r="AL92" s="6">
        <v>0.5</v>
      </c>
      <c r="AM92" s="21">
        <f t="shared" si="44"/>
        <v>5753.4</v>
      </c>
      <c r="AN92" s="6">
        <v>0.35</v>
      </c>
      <c r="AO92" s="21">
        <f t="shared" si="45"/>
        <v>4027.379999999999</v>
      </c>
      <c r="AP92" s="197"/>
      <c r="AQ92" s="21">
        <f t="shared" si="46"/>
        <v>0</v>
      </c>
      <c r="AR92" s="6">
        <v>0.5</v>
      </c>
      <c r="AS92" s="21">
        <f t="shared" si="47"/>
        <v>5753.4</v>
      </c>
      <c r="AT92" s="6"/>
      <c r="AU92" s="21">
        <f t="shared" si="48"/>
        <v>0</v>
      </c>
      <c r="AV92" s="16"/>
    </row>
    <row r="93" spans="1:48" ht="12.75">
      <c r="A93" s="6">
        <f t="shared" si="50"/>
        <v>33</v>
      </c>
      <c r="B93" s="3" t="s">
        <v>186</v>
      </c>
      <c r="C93" s="80">
        <v>975.5</v>
      </c>
      <c r="D93" s="5">
        <f t="shared" si="28"/>
        <v>3.8400000000000003</v>
      </c>
      <c r="E93" s="5"/>
      <c r="F93" s="7">
        <f t="shared" si="29"/>
        <v>2.29</v>
      </c>
      <c r="G93" s="2">
        <v>0.49</v>
      </c>
      <c r="H93" s="2">
        <f t="shared" si="49"/>
        <v>5735.9400000000005</v>
      </c>
      <c r="I93" s="2">
        <v>1</v>
      </c>
      <c r="J93" s="2">
        <f t="shared" si="34"/>
        <v>11706</v>
      </c>
      <c r="K93" s="2"/>
      <c r="L93" s="2">
        <f t="shared" si="35"/>
        <v>0</v>
      </c>
      <c r="M93" s="2"/>
      <c r="N93" s="2">
        <f t="shared" si="36"/>
        <v>0</v>
      </c>
      <c r="O93" s="2"/>
      <c r="P93" s="2">
        <f t="shared" si="37"/>
        <v>0</v>
      </c>
      <c r="Q93" s="2"/>
      <c r="R93" s="2">
        <f t="shared" si="38"/>
        <v>0</v>
      </c>
      <c r="S93" s="2">
        <v>0.5</v>
      </c>
      <c r="T93" s="21">
        <f t="shared" si="39"/>
        <v>5853</v>
      </c>
      <c r="U93" s="2">
        <v>0.3</v>
      </c>
      <c r="V93" s="21">
        <f t="shared" si="40"/>
        <v>3511.7999999999997</v>
      </c>
      <c r="W93" s="6">
        <f t="shared" si="51"/>
        <v>33</v>
      </c>
      <c r="X93" s="3" t="s">
        <v>186</v>
      </c>
      <c r="Y93" s="80">
        <v>975.5</v>
      </c>
      <c r="Z93" s="32">
        <f t="shared" si="41"/>
        <v>0.9000000000000001</v>
      </c>
      <c r="AA93" s="2">
        <v>0.2</v>
      </c>
      <c r="AB93" s="21">
        <f t="shared" si="42"/>
        <v>2341.2000000000003</v>
      </c>
      <c r="AC93" s="2">
        <v>0.2</v>
      </c>
      <c r="AD93" s="21">
        <f t="shared" si="31"/>
        <v>2341.2000000000003</v>
      </c>
      <c r="AE93" s="2">
        <v>0.2</v>
      </c>
      <c r="AF93" s="21">
        <f t="shared" si="26"/>
        <v>2341.2000000000003</v>
      </c>
      <c r="AG93" s="2">
        <v>0</v>
      </c>
      <c r="AH93" s="21">
        <f t="shared" si="32"/>
        <v>0</v>
      </c>
      <c r="AI93" s="2">
        <v>0.3</v>
      </c>
      <c r="AJ93" s="21">
        <f t="shared" si="33"/>
        <v>3511.7999999999997</v>
      </c>
      <c r="AK93" s="32">
        <f t="shared" si="43"/>
        <v>0.65</v>
      </c>
      <c r="AL93" s="6">
        <v>0.15</v>
      </c>
      <c r="AM93" s="21">
        <f t="shared" si="44"/>
        <v>1755.8999999999999</v>
      </c>
      <c r="AN93" s="6"/>
      <c r="AO93" s="21">
        <f t="shared" si="45"/>
        <v>0</v>
      </c>
      <c r="AP93" s="197"/>
      <c r="AQ93" s="21">
        <f t="shared" si="46"/>
        <v>0</v>
      </c>
      <c r="AR93" s="6">
        <v>0.5</v>
      </c>
      <c r="AS93" s="21">
        <f t="shared" si="47"/>
        <v>5853</v>
      </c>
      <c r="AT93" s="6"/>
      <c r="AU93" s="21">
        <f t="shared" si="48"/>
        <v>0</v>
      </c>
      <c r="AV93" s="16"/>
    </row>
    <row r="94" spans="1:48" ht="12.75">
      <c r="A94" s="6">
        <f t="shared" si="50"/>
        <v>34</v>
      </c>
      <c r="B94" s="3" t="s">
        <v>43</v>
      </c>
      <c r="C94" s="80">
        <v>968.6</v>
      </c>
      <c r="D94" s="5">
        <f t="shared" si="28"/>
        <v>5.01</v>
      </c>
      <c r="E94" s="5"/>
      <c r="F94" s="7">
        <f t="shared" si="29"/>
        <v>1.75</v>
      </c>
      <c r="G94" s="2">
        <v>0.2</v>
      </c>
      <c r="H94" s="2">
        <f t="shared" si="49"/>
        <v>2324.6400000000003</v>
      </c>
      <c r="I94" s="2">
        <v>0.7</v>
      </c>
      <c r="J94" s="2">
        <f t="shared" si="34"/>
        <v>8136.24</v>
      </c>
      <c r="K94" s="2"/>
      <c r="L94" s="2">
        <f t="shared" si="35"/>
        <v>0</v>
      </c>
      <c r="M94" s="2"/>
      <c r="N94" s="2">
        <f t="shared" si="36"/>
        <v>0</v>
      </c>
      <c r="O94" s="2"/>
      <c r="P94" s="2">
        <f t="shared" si="37"/>
        <v>0</v>
      </c>
      <c r="Q94" s="2"/>
      <c r="R94" s="2">
        <f t="shared" si="38"/>
        <v>0</v>
      </c>
      <c r="S94" s="2">
        <v>0.5</v>
      </c>
      <c r="T94" s="21">
        <f t="shared" si="39"/>
        <v>5811.6</v>
      </c>
      <c r="U94" s="2">
        <v>0.35</v>
      </c>
      <c r="V94" s="21">
        <f t="shared" si="40"/>
        <v>4068.12</v>
      </c>
      <c r="W94" s="6">
        <f t="shared" si="51"/>
        <v>34</v>
      </c>
      <c r="X94" s="3" t="s">
        <v>43</v>
      </c>
      <c r="Y94" s="80">
        <v>968.6</v>
      </c>
      <c r="Z94" s="32">
        <f t="shared" si="41"/>
        <v>0.7</v>
      </c>
      <c r="AA94" s="2">
        <v>0.1</v>
      </c>
      <c r="AB94" s="21">
        <f t="shared" si="42"/>
        <v>1162.3200000000002</v>
      </c>
      <c r="AC94" s="2">
        <v>0.1</v>
      </c>
      <c r="AD94" s="21">
        <f t="shared" si="31"/>
        <v>1162.3200000000002</v>
      </c>
      <c r="AE94" s="2">
        <v>0.1</v>
      </c>
      <c r="AF94" s="21">
        <f t="shared" si="26"/>
        <v>1162.3200000000002</v>
      </c>
      <c r="AG94" s="2">
        <v>0.2</v>
      </c>
      <c r="AH94" s="21">
        <f t="shared" si="32"/>
        <v>2324.6400000000003</v>
      </c>
      <c r="AI94" s="2">
        <v>0.2</v>
      </c>
      <c r="AJ94" s="21">
        <f t="shared" si="33"/>
        <v>2324.6400000000003</v>
      </c>
      <c r="AK94" s="32">
        <f t="shared" si="43"/>
        <v>2.56</v>
      </c>
      <c r="AL94" s="6">
        <v>1.96</v>
      </c>
      <c r="AM94" s="21">
        <f t="shared" si="44"/>
        <v>22781.471999999998</v>
      </c>
      <c r="AN94" s="6"/>
      <c r="AO94" s="21">
        <f t="shared" si="45"/>
        <v>0</v>
      </c>
      <c r="AP94" s="197"/>
      <c r="AQ94" s="21">
        <f t="shared" si="46"/>
        <v>0</v>
      </c>
      <c r="AR94" s="6">
        <v>0.6</v>
      </c>
      <c r="AS94" s="21">
        <f t="shared" si="47"/>
        <v>6973.92</v>
      </c>
      <c r="AT94" s="6"/>
      <c r="AU94" s="21">
        <f t="shared" si="48"/>
        <v>0</v>
      </c>
      <c r="AV94" s="16"/>
    </row>
    <row r="95" spans="1:48" ht="12.75">
      <c r="A95" s="6">
        <f t="shared" si="50"/>
        <v>35</v>
      </c>
      <c r="B95" s="3" t="s">
        <v>44</v>
      </c>
      <c r="C95" s="80">
        <v>1522.9</v>
      </c>
      <c r="D95" s="5">
        <f t="shared" si="28"/>
        <v>6.14</v>
      </c>
      <c r="E95" s="5"/>
      <c r="F95" s="7">
        <f t="shared" si="29"/>
        <v>1.24</v>
      </c>
      <c r="G95" s="2">
        <v>0.29</v>
      </c>
      <c r="H95" s="2">
        <f t="shared" si="49"/>
        <v>5299.692</v>
      </c>
      <c r="I95" s="2"/>
      <c r="J95" s="2">
        <f t="shared" si="34"/>
        <v>0</v>
      </c>
      <c r="K95" s="2"/>
      <c r="L95" s="2">
        <f t="shared" si="35"/>
        <v>0</v>
      </c>
      <c r="M95" s="2"/>
      <c r="N95" s="2">
        <f t="shared" si="36"/>
        <v>0</v>
      </c>
      <c r="O95" s="2">
        <v>0.1</v>
      </c>
      <c r="P95" s="2">
        <f t="shared" si="37"/>
        <v>1827.4800000000002</v>
      </c>
      <c r="Q95" s="2"/>
      <c r="R95" s="2">
        <f t="shared" si="38"/>
        <v>0</v>
      </c>
      <c r="S95" s="2">
        <v>0.5</v>
      </c>
      <c r="T95" s="21">
        <f t="shared" si="39"/>
        <v>9137.400000000001</v>
      </c>
      <c r="U95" s="2">
        <v>0.35</v>
      </c>
      <c r="V95" s="21">
        <f t="shared" si="40"/>
        <v>6396.18</v>
      </c>
      <c r="W95" s="6">
        <f t="shared" si="51"/>
        <v>35</v>
      </c>
      <c r="X95" s="3" t="s">
        <v>44</v>
      </c>
      <c r="Y95" s="80">
        <v>1522.9</v>
      </c>
      <c r="Z95" s="32">
        <f t="shared" si="41"/>
        <v>2.5500000000000003</v>
      </c>
      <c r="AA95" s="2">
        <v>1.5</v>
      </c>
      <c r="AB95" s="21">
        <f t="shared" si="42"/>
        <v>27412.200000000004</v>
      </c>
      <c r="AC95" s="2">
        <v>0.3</v>
      </c>
      <c r="AD95" s="21">
        <f t="shared" si="31"/>
        <v>5482.4400000000005</v>
      </c>
      <c r="AE95" s="2">
        <v>0.3</v>
      </c>
      <c r="AF95" s="21">
        <f t="shared" si="26"/>
        <v>5482.4400000000005</v>
      </c>
      <c r="AG95" s="2">
        <v>0.2</v>
      </c>
      <c r="AH95" s="21">
        <f t="shared" si="32"/>
        <v>3654.9600000000005</v>
      </c>
      <c r="AI95" s="2">
        <v>0.25</v>
      </c>
      <c r="AJ95" s="21">
        <f t="shared" si="33"/>
        <v>4568.700000000001</v>
      </c>
      <c r="AK95" s="32">
        <f t="shared" si="43"/>
        <v>2.3499999999999996</v>
      </c>
      <c r="AL95" s="6">
        <v>0.95</v>
      </c>
      <c r="AM95" s="21">
        <f t="shared" si="44"/>
        <v>17361.06</v>
      </c>
      <c r="AN95" s="6"/>
      <c r="AO95" s="21">
        <f>AN95*C95*12</f>
        <v>0</v>
      </c>
      <c r="AP95" s="197"/>
      <c r="AQ95" s="21">
        <f t="shared" si="46"/>
        <v>0</v>
      </c>
      <c r="AR95" s="6">
        <v>0.6</v>
      </c>
      <c r="AS95" s="21">
        <f t="shared" si="47"/>
        <v>10964.880000000001</v>
      </c>
      <c r="AT95" s="6">
        <v>0.8</v>
      </c>
      <c r="AU95" s="21">
        <f t="shared" si="48"/>
        <v>14619.840000000002</v>
      </c>
      <c r="AV95" s="16"/>
    </row>
    <row r="96" spans="1:48" ht="12.75">
      <c r="A96" s="6">
        <f t="shared" si="50"/>
        <v>36</v>
      </c>
      <c r="B96" s="3" t="s">
        <v>45</v>
      </c>
      <c r="C96" s="80">
        <v>1517.4</v>
      </c>
      <c r="D96" s="5">
        <f t="shared" si="28"/>
        <v>6.13</v>
      </c>
      <c r="E96" s="5"/>
      <c r="F96" s="7">
        <f t="shared" si="29"/>
        <v>3.1</v>
      </c>
      <c r="G96" s="2">
        <v>0.25</v>
      </c>
      <c r="H96" s="2">
        <f t="shared" si="49"/>
        <v>4552.200000000001</v>
      </c>
      <c r="I96" s="2"/>
      <c r="J96" s="2">
        <f t="shared" si="34"/>
        <v>0</v>
      </c>
      <c r="K96" s="2">
        <v>2</v>
      </c>
      <c r="L96" s="2">
        <f t="shared" si="35"/>
        <v>36417.600000000006</v>
      </c>
      <c r="M96" s="2"/>
      <c r="N96" s="2">
        <f t="shared" si="36"/>
        <v>0</v>
      </c>
      <c r="O96" s="2">
        <v>0.1</v>
      </c>
      <c r="P96" s="2">
        <f t="shared" si="37"/>
        <v>1820.88</v>
      </c>
      <c r="Q96" s="2"/>
      <c r="R96" s="2">
        <f t="shared" si="38"/>
        <v>0</v>
      </c>
      <c r="S96" s="2">
        <v>0.5</v>
      </c>
      <c r="T96" s="21">
        <f t="shared" si="39"/>
        <v>9104.400000000001</v>
      </c>
      <c r="U96" s="2">
        <v>0.25</v>
      </c>
      <c r="V96" s="21">
        <f t="shared" si="40"/>
        <v>4552.200000000001</v>
      </c>
      <c r="W96" s="6">
        <f t="shared" si="51"/>
        <v>36</v>
      </c>
      <c r="X96" s="3" t="s">
        <v>45</v>
      </c>
      <c r="Y96" s="80">
        <v>1517.4</v>
      </c>
      <c r="Z96" s="32">
        <f t="shared" si="41"/>
        <v>2.43</v>
      </c>
      <c r="AA96" s="2">
        <v>0.68</v>
      </c>
      <c r="AB96" s="21">
        <f t="shared" si="42"/>
        <v>12381.984</v>
      </c>
      <c r="AC96" s="2">
        <v>0.5</v>
      </c>
      <c r="AD96" s="21">
        <f t="shared" si="31"/>
        <v>9104.400000000001</v>
      </c>
      <c r="AE96" s="2">
        <v>0.5</v>
      </c>
      <c r="AF96" s="21">
        <f t="shared" si="26"/>
        <v>9104.400000000001</v>
      </c>
      <c r="AG96" s="2">
        <v>0.5</v>
      </c>
      <c r="AH96" s="21">
        <f t="shared" si="32"/>
        <v>9104.400000000001</v>
      </c>
      <c r="AI96" s="2">
        <v>0.25</v>
      </c>
      <c r="AJ96" s="21">
        <f t="shared" si="33"/>
        <v>4552.200000000001</v>
      </c>
      <c r="AK96" s="32">
        <f t="shared" si="43"/>
        <v>0.6</v>
      </c>
      <c r="AL96" s="6"/>
      <c r="AM96" s="21">
        <f t="shared" si="44"/>
        <v>0</v>
      </c>
      <c r="AN96" s="6"/>
      <c r="AO96" s="21">
        <f t="shared" si="45"/>
        <v>0</v>
      </c>
      <c r="AP96" s="197"/>
      <c r="AQ96" s="21">
        <f t="shared" si="46"/>
        <v>0</v>
      </c>
      <c r="AR96" s="6">
        <v>0.6</v>
      </c>
      <c r="AS96" s="21">
        <f t="shared" si="47"/>
        <v>10925.28</v>
      </c>
      <c r="AT96" s="6"/>
      <c r="AU96" s="21">
        <f t="shared" si="48"/>
        <v>0</v>
      </c>
      <c r="AV96" s="16"/>
    </row>
    <row r="97" spans="1:48" ht="12.75">
      <c r="A97" s="6">
        <f t="shared" si="50"/>
        <v>37</v>
      </c>
      <c r="B97" s="3" t="s">
        <v>46</v>
      </c>
      <c r="C97" s="80">
        <v>1550.1</v>
      </c>
      <c r="D97" s="5">
        <f t="shared" si="28"/>
        <v>5.590000000000001</v>
      </c>
      <c r="E97" s="5"/>
      <c r="F97" s="7">
        <f t="shared" si="29"/>
        <v>3.8000000000000003</v>
      </c>
      <c r="G97" s="2">
        <v>0.1</v>
      </c>
      <c r="H97" s="2">
        <f t="shared" si="49"/>
        <v>1860.12</v>
      </c>
      <c r="I97" s="2"/>
      <c r="J97" s="2">
        <f t="shared" si="34"/>
        <v>0</v>
      </c>
      <c r="K97" s="2"/>
      <c r="L97" s="2">
        <f t="shared" si="35"/>
        <v>0</v>
      </c>
      <c r="M97" s="2">
        <v>3</v>
      </c>
      <c r="N97" s="2">
        <f t="shared" si="36"/>
        <v>55803.59999999999</v>
      </c>
      <c r="O97" s="2"/>
      <c r="P97" s="2">
        <f t="shared" si="37"/>
        <v>0</v>
      </c>
      <c r="Q97" s="2"/>
      <c r="R97" s="2">
        <f t="shared" si="38"/>
        <v>0</v>
      </c>
      <c r="S97" s="2">
        <v>0.5</v>
      </c>
      <c r="T97" s="21">
        <f t="shared" si="39"/>
        <v>9300.599999999999</v>
      </c>
      <c r="U97" s="2">
        <v>0.2</v>
      </c>
      <c r="V97" s="21">
        <f t="shared" si="40"/>
        <v>3720.24</v>
      </c>
      <c r="W97" s="6">
        <f t="shared" si="51"/>
        <v>37</v>
      </c>
      <c r="X97" s="3" t="s">
        <v>46</v>
      </c>
      <c r="Y97" s="80">
        <v>1550.1</v>
      </c>
      <c r="Z97" s="32">
        <f t="shared" si="41"/>
        <v>0.5</v>
      </c>
      <c r="AA97" s="2">
        <v>0.1</v>
      </c>
      <c r="AB97" s="21">
        <f t="shared" si="42"/>
        <v>1860.12</v>
      </c>
      <c r="AC97" s="2">
        <v>0.1</v>
      </c>
      <c r="AD97" s="21">
        <f t="shared" si="31"/>
        <v>1860.12</v>
      </c>
      <c r="AE97" s="2">
        <v>0.1</v>
      </c>
      <c r="AF97" s="21">
        <f t="shared" si="26"/>
        <v>1860.12</v>
      </c>
      <c r="AG97" s="2">
        <v>0</v>
      </c>
      <c r="AH97" s="21">
        <f t="shared" si="32"/>
        <v>0</v>
      </c>
      <c r="AI97" s="2">
        <v>0.2</v>
      </c>
      <c r="AJ97" s="21">
        <f t="shared" si="33"/>
        <v>3720.24</v>
      </c>
      <c r="AK97" s="32">
        <f t="shared" si="43"/>
        <v>1.29</v>
      </c>
      <c r="AL97" s="6">
        <v>0.69</v>
      </c>
      <c r="AM97" s="21">
        <f t="shared" si="44"/>
        <v>12834.828</v>
      </c>
      <c r="AN97" s="6"/>
      <c r="AO97" s="21">
        <f t="shared" si="45"/>
        <v>0</v>
      </c>
      <c r="AP97" s="197"/>
      <c r="AQ97" s="21">
        <f t="shared" si="46"/>
        <v>0</v>
      </c>
      <c r="AR97" s="6">
        <v>0.6</v>
      </c>
      <c r="AS97" s="21">
        <f t="shared" si="47"/>
        <v>11160.72</v>
      </c>
      <c r="AT97" s="6"/>
      <c r="AU97" s="21">
        <f t="shared" si="48"/>
        <v>0</v>
      </c>
      <c r="AV97" s="16"/>
    </row>
    <row r="98" spans="1:48" ht="12.75">
      <c r="A98" s="6">
        <f t="shared" si="50"/>
        <v>38</v>
      </c>
      <c r="B98" s="3" t="s">
        <v>47</v>
      </c>
      <c r="C98" s="80">
        <v>1526.8</v>
      </c>
      <c r="D98" s="5">
        <f t="shared" si="28"/>
        <v>5.690000000000001</v>
      </c>
      <c r="E98" s="5"/>
      <c r="F98" s="7">
        <f t="shared" si="29"/>
        <v>3.8000000000000003</v>
      </c>
      <c r="G98" s="2">
        <v>0.1</v>
      </c>
      <c r="H98" s="2">
        <f t="shared" si="49"/>
        <v>1832.16</v>
      </c>
      <c r="I98" s="2"/>
      <c r="J98" s="2">
        <f t="shared" si="34"/>
        <v>0</v>
      </c>
      <c r="K98" s="2">
        <v>3</v>
      </c>
      <c r="L98" s="2">
        <f t="shared" si="35"/>
        <v>54964.799999999996</v>
      </c>
      <c r="M98" s="2"/>
      <c r="N98" s="2">
        <f t="shared" si="36"/>
        <v>0</v>
      </c>
      <c r="O98" s="2"/>
      <c r="P98" s="2">
        <f t="shared" si="37"/>
        <v>0</v>
      </c>
      <c r="Q98" s="2"/>
      <c r="R98" s="2">
        <f t="shared" si="38"/>
        <v>0</v>
      </c>
      <c r="S98" s="2">
        <v>0.5</v>
      </c>
      <c r="T98" s="21">
        <f t="shared" si="39"/>
        <v>9160.8</v>
      </c>
      <c r="U98" s="2">
        <v>0.2</v>
      </c>
      <c r="V98" s="21">
        <f t="shared" si="40"/>
        <v>3664.32</v>
      </c>
      <c r="W98" s="6">
        <f t="shared" si="51"/>
        <v>38</v>
      </c>
      <c r="X98" s="3" t="s">
        <v>47</v>
      </c>
      <c r="Y98" s="80">
        <v>1526.8</v>
      </c>
      <c r="Z98" s="32">
        <f t="shared" si="41"/>
        <v>0.5</v>
      </c>
      <c r="AA98" s="2">
        <v>0.1</v>
      </c>
      <c r="AB98" s="21">
        <f t="shared" si="42"/>
        <v>1832.16</v>
      </c>
      <c r="AC98" s="2">
        <v>0.1</v>
      </c>
      <c r="AD98" s="21">
        <f t="shared" si="31"/>
        <v>1832.16</v>
      </c>
      <c r="AE98" s="2">
        <v>0.1</v>
      </c>
      <c r="AF98" s="21">
        <f t="shared" si="26"/>
        <v>1832.16</v>
      </c>
      <c r="AG98" s="2"/>
      <c r="AH98" s="21">
        <f t="shared" si="32"/>
        <v>0</v>
      </c>
      <c r="AI98" s="2">
        <v>0.2</v>
      </c>
      <c r="AJ98" s="21">
        <f t="shared" si="33"/>
        <v>3664.32</v>
      </c>
      <c r="AK98" s="32">
        <f t="shared" si="43"/>
        <v>1.3900000000000001</v>
      </c>
      <c r="AL98" s="6">
        <v>0.79</v>
      </c>
      <c r="AM98" s="21">
        <f t="shared" si="44"/>
        <v>14474.064</v>
      </c>
      <c r="AN98" s="6"/>
      <c r="AO98" s="21">
        <f t="shared" si="45"/>
        <v>0</v>
      </c>
      <c r="AP98" s="197"/>
      <c r="AQ98" s="21">
        <f t="shared" si="46"/>
        <v>0</v>
      </c>
      <c r="AR98" s="6">
        <v>0.6</v>
      </c>
      <c r="AS98" s="21">
        <f t="shared" si="47"/>
        <v>10992.96</v>
      </c>
      <c r="AT98" s="6"/>
      <c r="AU98" s="21">
        <f t="shared" si="48"/>
        <v>0</v>
      </c>
      <c r="AV98" s="16"/>
    </row>
    <row r="99" spans="1:48" ht="12.75">
      <c r="A99" s="6">
        <f t="shared" si="50"/>
        <v>39</v>
      </c>
      <c r="B99" s="3" t="s">
        <v>48</v>
      </c>
      <c r="C99" s="168">
        <v>949</v>
      </c>
      <c r="D99" s="5">
        <f t="shared" si="28"/>
        <v>5.11</v>
      </c>
      <c r="E99" s="5"/>
      <c r="F99" s="7">
        <f t="shared" si="29"/>
        <v>3.4099999999999997</v>
      </c>
      <c r="G99" s="2">
        <v>1</v>
      </c>
      <c r="H99" s="2">
        <f t="shared" si="49"/>
        <v>11388</v>
      </c>
      <c r="I99" s="2">
        <v>0.5</v>
      </c>
      <c r="J99" s="2">
        <f t="shared" si="34"/>
        <v>5694</v>
      </c>
      <c r="K99" s="2">
        <v>0.49</v>
      </c>
      <c r="L99" s="2">
        <f t="shared" si="35"/>
        <v>5580.12</v>
      </c>
      <c r="M99" s="2"/>
      <c r="N99" s="2">
        <f t="shared" si="36"/>
        <v>0</v>
      </c>
      <c r="O99" s="2">
        <v>0.62</v>
      </c>
      <c r="P99" s="2">
        <f t="shared" si="37"/>
        <v>7060.5599999999995</v>
      </c>
      <c r="Q99" s="2"/>
      <c r="R99" s="2">
        <f t="shared" si="38"/>
        <v>0</v>
      </c>
      <c r="S99" s="2">
        <v>0.5</v>
      </c>
      <c r="T99" s="21">
        <f t="shared" si="39"/>
        <v>5694</v>
      </c>
      <c r="U99" s="2">
        <v>0.3</v>
      </c>
      <c r="V99" s="21">
        <f t="shared" si="40"/>
        <v>3416.3999999999996</v>
      </c>
      <c r="W99" s="6">
        <f t="shared" si="51"/>
        <v>39</v>
      </c>
      <c r="X99" s="3" t="s">
        <v>48</v>
      </c>
      <c r="Y99" s="168">
        <v>949</v>
      </c>
      <c r="Z99" s="32">
        <f t="shared" si="41"/>
        <v>1</v>
      </c>
      <c r="AA99" s="2">
        <v>0.2</v>
      </c>
      <c r="AB99" s="21">
        <f t="shared" si="42"/>
        <v>2277.6000000000004</v>
      </c>
      <c r="AC99" s="2">
        <v>0.1</v>
      </c>
      <c r="AD99" s="21">
        <f t="shared" si="31"/>
        <v>1138.8000000000002</v>
      </c>
      <c r="AE99" s="2">
        <v>0.1</v>
      </c>
      <c r="AF99" s="21">
        <f t="shared" si="26"/>
        <v>1138.8000000000002</v>
      </c>
      <c r="AG99" s="2">
        <v>0.4</v>
      </c>
      <c r="AH99" s="21">
        <f t="shared" si="32"/>
        <v>4555.200000000001</v>
      </c>
      <c r="AI99" s="2">
        <v>0.2</v>
      </c>
      <c r="AJ99" s="21">
        <f t="shared" si="33"/>
        <v>2277.6000000000004</v>
      </c>
      <c r="AK99" s="32">
        <f t="shared" si="43"/>
        <v>0.7</v>
      </c>
      <c r="AL99" s="6">
        <v>0.5</v>
      </c>
      <c r="AM99" s="21">
        <f t="shared" si="44"/>
        <v>5694</v>
      </c>
      <c r="AN99" s="6"/>
      <c r="AO99" s="21">
        <f t="shared" si="45"/>
        <v>0</v>
      </c>
      <c r="AP99" s="197"/>
      <c r="AQ99" s="21">
        <f t="shared" si="46"/>
        <v>0</v>
      </c>
      <c r="AR99" s="6">
        <v>0.2</v>
      </c>
      <c r="AS99" s="21">
        <f t="shared" si="47"/>
        <v>2277.6000000000004</v>
      </c>
      <c r="AT99" s="6"/>
      <c r="AU99" s="21">
        <f t="shared" si="48"/>
        <v>0</v>
      </c>
      <c r="AV99" s="16"/>
    </row>
    <row r="100" spans="1:48" ht="12.75">
      <c r="A100" s="6">
        <f t="shared" si="50"/>
        <v>40</v>
      </c>
      <c r="B100" s="3" t="s">
        <v>49</v>
      </c>
      <c r="C100" s="80">
        <v>1319.5</v>
      </c>
      <c r="D100" s="5">
        <f t="shared" si="28"/>
        <v>6.16</v>
      </c>
      <c r="E100" s="5"/>
      <c r="F100" s="7">
        <f t="shared" si="29"/>
        <v>2.91</v>
      </c>
      <c r="G100" s="2"/>
      <c r="H100" s="2">
        <f t="shared" si="49"/>
        <v>0</v>
      </c>
      <c r="I100" s="2"/>
      <c r="J100" s="2">
        <f t="shared" si="34"/>
        <v>0</v>
      </c>
      <c r="K100" s="2"/>
      <c r="L100" s="2">
        <f t="shared" si="35"/>
        <v>0</v>
      </c>
      <c r="M100" s="2">
        <v>2.24</v>
      </c>
      <c r="N100" s="2">
        <f t="shared" si="36"/>
        <v>35468.16</v>
      </c>
      <c r="O100" s="2">
        <v>0.3</v>
      </c>
      <c r="P100" s="2">
        <f t="shared" si="37"/>
        <v>4750.2</v>
      </c>
      <c r="Q100" s="2"/>
      <c r="R100" s="2">
        <f t="shared" si="38"/>
        <v>0</v>
      </c>
      <c r="S100" s="2">
        <v>0.22</v>
      </c>
      <c r="T100" s="21">
        <f t="shared" si="39"/>
        <v>3483.4800000000005</v>
      </c>
      <c r="U100" s="2">
        <v>0.15</v>
      </c>
      <c r="V100" s="21">
        <f t="shared" si="40"/>
        <v>2375.1</v>
      </c>
      <c r="W100" s="6">
        <f t="shared" si="51"/>
        <v>40</v>
      </c>
      <c r="X100" s="3" t="s">
        <v>49</v>
      </c>
      <c r="Y100" s="80">
        <v>1319.5</v>
      </c>
      <c r="Z100" s="32">
        <f t="shared" si="41"/>
        <v>3.25</v>
      </c>
      <c r="AA100" s="2">
        <v>1</v>
      </c>
      <c r="AB100" s="21">
        <f t="shared" si="42"/>
        <v>15834</v>
      </c>
      <c r="AC100" s="2">
        <v>0.8</v>
      </c>
      <c r="AD100" s="21">
        <f t="shared" si="31"/>
        <v>12667.2</v>
      </c>
      <c r="AE100" s="2">
        <v>0.8</v>
      </c>
      <c r="AF100" s="21">
        <f t="shared" si="26"/>
        <v>12667.2</v>
      </c>
      <c r="AG100" s="2">
        <v>0.5</v>
      </c>
      <c r="AH100" s="21">
        <f t="shared" si="32"/>
        <v>7917</v>
      </c>
      <c r="AI100" s="2">
        <v>0.15</v>
      </c>
      <c r="AJ100" s="21">
        <f t="shared" si="33"/>
        <v>2375.1</v>
      </c>
      <c r="AK100" s="32">
        <f t="shared" si="43"/>
        <v>0</v>
      </c>
      <c r="AL100" s="6"/>
      <c r="AM100" s="21">
        <f t="shared" si="44"/>
        <v>0</v>
      </c>
      <c r="AN100" s="6"/>
      <c r="AO100" s="21">
        <f t="shared" si="45"/>
        <v>0</v>
      </c>
      <c r="AP100" s="197"/>
      <c r="AQ100" s="21">
        <f t="shared" si="46"/>
        <v>0</v>
      </c>
      <c r="AR100" s="6"/>
      <c r="AS100" s="21">
        <f t="shared" si="47"/>
        <v>0</v>
      </c>
      <c r="AT100" s="6"/>
      <c r="AU100" s="21">
        <f t="shared" si="48"/>
        <v>0</v>
      </c>
      <c r="AV100" s="16"/>
    </row>
    <row r="101" spans="1:48" ht="12.75">
      <c r="A101" s="6">
        <f t="shared" si="50"/>
        <v>41</v>
      </c>
      <c r="B101" s="3" t="s">
        <v>50</v>
      </c>
      <c r="C101" s="80">
        <v>1280.6</v>
      </c>
      <c r="D101" s="5">
        <f t="shared" si="28"/>
        <v>5.75</v>
      </c>
      <c r="E101" s="5"/>
      <c r="F101" s="7">
        <f t="shared" si="29"/>
        <v>2.99</v>
      </c>
      <c r="G101" s="2">
        <f>0.2+0.15+0.2</f>
        <v>0.55</v>
      </c>
      <c r="H101" s="2">
        <f t="shared" si="49"/>
        <v>8451.960000000001</v>
      </c>
      <c r="I101" s="2"/>
      <c r="J101" s="2">
        <f t="shared" si="34"/>
        <v>0</v>
      </c>
      <c r="K101" s="2">
        <v>0.7</v>
      </c>
      <c r="L101" s="2">
        <f t="shared" si="35"/>
        <v>10757.039999999997</v>
      </c>
      <c r="M101" s="2">
        <v>0.34</v>
      </c>
      <c r="N101" s="2">
        <f t="shared" si="36"/>
        <v>5224.848</v>
      </c>
      <c r="O101" s="2">
        <f>0.25+0.3</f>
        <v>0.55</v>
      </c>
      <c r="P101" s="2">
        <f t="shared" si="37"/>
        <v>8451.960000000001</v>
      </c>
      <c r="Q101" s="2"/>
      <c r="R101" s="2">
        <f t="shared" si="38"/>
        <v>0</v>
      </c>
      <c r="S101" s="2">
        <v>0.55</v>
      </c>
      <c r="T101" s="21">
        <f t="shared" si="39"/>
        <v>8451.960000000001</v>
      </c>
      <c r="U101" s="2">
        <v>0.3</v>
      </c>
      <c r="V101" s="21">
        <f t="shared" si="40"/>
        <v>4610.16</v>
      </c>
      <c r="W101" s="6">
        <f t="shared" si="51"/>
        <v>41</v>
      </c>
      <c r="X101" s="3" t="s">
        <v>50</v>
      </c>
      <c r="Y101" s="80">
        <v>1280.6</v>
      </c>
      <c r="Z101" s="32">
        <f t="shared" si="41"/>
        <v>0.9500000000000001</v>
      </c>
      <c r="AA101" s="2">
        <v>0.2</v>
      </c>
      <c r="AB101" s="21">
        <f t="shared" si="42"/>
        <v>3073.44</v>
      </c>
      <c r="AC101" s="2">
        <v>0.1</v>
      </c>
      <c r="AD101" s="21">
        <f t="shared" si="31"/>
        <v>1536.72</v>
      </c>
      <c r="AE101" s="2">
        <v>0.1</v>
      </c>
      <c r="AF101" s="21">
        <f t="shared" si="26"/>
        <v>1536.72</v>
      </c>
      <c r="AG101" s="2">
        <v>0.4</v>
      </c>
      <c r="AH101" s="21">
        <f t="shared" si="32"/>
        <v>6146.88</v>
      </c>
      <c r="AI101" s="2">
        <v>0.15</v>
      </c>
      <c r="AJ101" s="21">
        <f t="shared" si="33"/>
        <v>2305.08</v>
      </c>
      <c r="AK101" s="32">
        <f t="shared" si="43"/>
        <v>1.81</v>
      </c>
      <c r="AL101" s="6">
        <v>0.81</v>
      </c>
      <c r="AM101" s="21">
        <f t="shared" si="44"/>
        <v>12447.432</v>
      </c>
      <c r="AN101" s="6"/>
      <c r="AO101" s="21">
        <f t="shared" si="45"/>
        <v>0</v>
      </c>
      <c r="AP101" s="197"/>
      <c r="AQ101" s="21">
        <f t="shared" si="46"/>
        <v>0</v>
      </c>
      <c r="AR101" s="6">
        <v>1</v>
      </c>
      <c r="AS101" s="21">
        <f t="shared" si="47"/>
        <v>15367.199999999999</v>
      </c>
      <c r="AT101" s="6"/>
      <c r="AU101" s="21">
        <f t="shared" si="48"/>
        <v>0</v>
      </c>
      <c r="AV101" s="16"/>
    </row>
    <row r="102" spans="1:48" ht="12.75">
      <c r="A102" s="6">
        <f t="shared" si="50"/>
        <v>42</v>
      </c>
      <c r="B102" s="3" t="s">
        <v>51</v>
      </c>
      <c r="C102" s="80">
        <v>1270.8</v>
      </c>
      <c r="D102" s="5">
        <f t="shared" si="28"/>
        <v>4.959999999999999</v>
      </c>
      <c r="E102" s="5"/>
      <c r="F102" s="7">
        <f t="shared" si="29"/>
        <v>2.55</v>
      </c>
      <c r="G102" s="2">
        <v>1.4</v>
      </c>
      <c r="H102" s="2">
        <f t="shared" si="49"/>
        <v>21349.44</v>
      </c>
      <c r="I102" s="2"/>
      <c r="J102" s="2">
        <f t="shared" si="34"/>
        <v>0</v>
      </c>
      <c r="K102" s="2">
        <v>0.4</v>
      </c>
      <c r="L102" s="2">
        <f t="shared" si="35"/>
        <v>6099.84</v>
      </c>
      <c r="M102" s="2"/>
      <c r="N102" s="2">
        <f t="shared" si="36"/>
        <v>0</v>
      </c>
      <c r="O102" s="2">
        <v>0.25</v>
      </c>
      <c r="P102" s="2">
        <f t="shared" si="37"/>
        <v>3812.3999999999996</v>
      </c>
      <c r="Q102" s="2"/>
      <c r="R102" s="2">
        <f t="shared" si="38"/>
        <v>0</v>
      </c>
      <c r="S102" s="2">
        <v>0.2</v>
      </c>
      <c r="T102" s="21">
        <f t="shared" si="39"/>
        <v>3049.92</v>
      </c>
      <c r="U102" s="2">
        <v>0.3</v>
      </c>
      <c r="V102" s="21">
        <f t="shared" si="40"/>
        <v>4574.879999999999</v>
      </c>
      <c r="W102" s="6">
        <f t="shared" si="51"/>
        <v>42</v>
      </c>
      <c r="X102" s="3" t="s">
        <v>51</v>
      </c>
      <c r="Y102" s="80">
        <v>1270.8</v>
      </c>
      <c r="Z102" s="32">
        <f t="shared" si="41"/>
        <v>1.05</v>
      </c>
      <c r="AA102" s="2">
        <v>0.2</v>
      </c>
      <c r="AB102" s="21">
        <f t="shared" si="42"/>
        <v>3049.92</v>
      </c>
      <c r="AC102" s="2">
        <v>0.1</v>
      </c>
      <c r="AD102" s="21">
        <f t="shared" si="31"/>
        <v>1524.96</v>
      </c>
      <c r="AE102" s="2">
        <v>0.1</v>
      </c>
      <c r="AF102" s="21">
        <f t="shared" si="26"/>
        <v>1524.96</v>
      </c>
      <c r="AG102" s="2">
        <v>0.5</v>
      </c>
      <c r="AH102" s="21">
        <f t="shared" si="32"/>
        <v>7624.799999999999</v>
      </c>
      <c r="AI102" s="2">
        <v>0.15</v>
      </c>
      <c r="AJ102" s="21">
        <f t="shared" si="33"/>
        <v>2287.4399999999996</v>
      </c>
      <c r="AK102" s="32">
        <f t="shared" si="43"/>
        <v>1.3599999999999999</v>
      </c>
      <c r="AL102" s="6">
        <v>0.64</v>
      </c>
      <c r="AM102" s="21">
        <f t="shared" si="44"/>
        <v>9759.744</v>
      </c>
      <c r="AN102" s="6"/>
      <c r="AO102" s="21">
        <f t="shared" si="45"/>
        <v>0</v>
      </c>
      <c r="AP102" s="197"/>
      <c r="AQ102" s="21">
        <f t="shared" si="46"/>
        <v>0</v>
      </c>
      <c r="AR102" s="6">
        <v>0.72</v>
      </c>
      <c r="AS102" s="21">
        <f t="shared" si="47"/>
        <v>10979.712</v>
      </c>
      <c r="AT102" s="6"/>
      <c r="AU102" s="21">
        <f t="shared" si="48"/>
        <v>0</v>
      </c>
      <c r="AV102" s="16"/>
    </row>
    <row r="103" spans="1:48" ht="12.75">
      <c r="A103" s="6">
        <f t="shared" si="50"/>
        <v>43</v>
      </c>
      <c r="B103" s="3" t="s">
        <v>102</v>
      </c>
      <c r="C103" s="80">
        <v>963.8</v>
      </c>
      <c r="D103" s="5">
        <f aca="true" t="shared" si="52" ref="D103:D137">F103+Z103+AK103+AV103</f>
        <v>5.55</v>
      </c>
      <c r="E103" s="5"/>
      <c r="F103" s="7">
        <f aca="true" t="shared" si="53" ref="F103:F122">G103+I103+K103+M103+O103+Q103+S103+U103</f>
        <v>1.75</v>
      </c>
      <c r="G103" s="2"/>
      <c r="H103" s="2">
        <f aca="true" t="shared" si="54" ref="H103:H137">G103*C103*12</f>
        <v>0</v>
      </c>
      <c r="I103" s="2"/>
      <c r="J103" s="2">
        <f aca="true" t="shared" si="55" ref="J103:J137">I103*C103*12</f>
        <v>0</v>
      </c>
      <c r="K103" s="2"/>
      <c r="L103" s="2">
        <f aca="true" t="shared" si="56" ref="L103:L137">K103*C103*12</f>
        <v>0</v>
      </c>
      <c r="M103" s="2">
        <v>1.55</v>
      </c>
      <c r="N103" s="2">
        <f aca="true" t="shared" si="57" ref="N103:N137">M103*C103*12</f>
        <v>17926.68</v>
      </c>
      <c r="O103" s="2"/>
      <c r="P103" s="2">
        <f aca="true" t="shared" si="58" ref="P103:P137">O103*C103*12</f>
        <v>0</v>
      </c>
      <c r="Q103" s="2"/>
      <c r="R103" s="2">
        <f aca="true" t="shared" si="59" ref="R103:R137">Q103*C103*12</f>
        <v>0</v>
      </c>
      <c r="S103" s="21"/>
      <c r="T103" s="21">
        <f aca="true" t="shared" si="60" ref="T103:T137">S103*C103*12</f>
        <v>0</v>
      </c>
      <c r="U103" s="2">
        <v>0.2</v>
      </c>
      <c r="V103" s="21">
        <f aca="true" t="shared" si="61" ref="V103:V137">U103*C103*12</f>
        <v>2313.12</v>
      </c>
      <c r="W103" s="6">
        <f aca="true" t="shared" si="62" ref="W103:W144">W102+1</f>
        <v>43</v>
      </c>
      <c r="X103" s="3" t="s">
        <v>102</v>
      </c>
      <c r="Y103" s="80">
        <v>963.8</v>
      </c>
      <c r="Z103" s="32">
        <f aca="true" t="shared" si="63" ref="Z103:Z137">AA103+AC103+AE103+AG103+AI103</f>
        <v>3.8</v>
      </c>
      <c r="AA103" s="2">
        <v>0.8</v>
      </c>
      <c r="AB103" s="21">
        <f aca="true" t="shared" si="64" ref="AB103:AB137">AA103*C103*12</f>
        <v>9252.48</v>
      </c>
      <c r="AC103" s="2">
        <v>1</v>
      </c>
      <c r="AD103" s="21">
        <f aca="true" t="shared" si="65" ref="AD103:AD137">AC103*C103*12</f>
        <v>11565.599999999999</v>
      </c>
      <c r="AE103" s="2">
        <v>1</v>
      </c>
      <c r="AF103" s="21">
        <f t="shared" si="26"/>
        <v>11565.599999999999</v>
      </c>
      <c r="AG103" s="2">
        <v>0.9</v>
      </c>
      <c r="AH103" s="21">
        <f aca="true" t="shared" si="66" ref="AH103:AH137">AG103*C103*12</f>
        <v>10409.039999999999</v>
      </c>
      <c r="AI103" s="2">
        <v>0.1</v>
      </c>
      <c r="AJ103" s="21">
        <f aca="true" t="shared" si="67" ref="AJ103:AJ122">AI103*C103*12</f>
        <v>1156.56</v>
      </c>
      <c r="AK103" s="32">
        <f aca="true" t="shared" si="68" ref="AK103:AK137">AL103+AN103+AP103+AR103+AT103</f>
        <v>0</v>
      </c>
      <c r="AL103" s="1"/>
      <c r="AM103" s="21">
        <f aca="true" t="shared" si="69" ref="AM103:AM137">AL103*C103*12</f>
        <v>0</v>
      </c>
      <c r="AN103" s="1"/>
      <c r="AO103" s="21">
        <f aca="true" t="shared" si="70" ref="AO103:AO137">AN103*C103*12</f>
        <v>0</v>
      </c>
      <c r="AP103" s="197"/>
      <c r="AQ103" s="21">
        <f aca="true" t="shared" si="71" ref="AQ103:AQ137">AP103*C103*12</f>
        <v>0</v>
      </c>
      <c r="AR103" s="1"/>
      <c r="AS103" s="21">
        <f aca="true" t="shared" si="72" ref="AS103:AS137">AR103*C103*12</f>
        <v>0</v>
      </c>
      <c r="AT103" s="1"/>
      <c r="AU103" s="21">
        <f aca="true" t="shared" si="73" ref="AU103:AU137">AT103*C103*12</f>
        <v>0</v>
      </c>
      <c r="AV103" s="16"/>
    </row>
    <row r="104" spans="1:48" ht="12.75">
      <c r="A104" s="6">
        <f t="shared" si="50"/>
        <v>44</v>
      </c>
      <c r="B104" s="3" t="s">
        <v>103</v>
      </c>
      <c r="C104" s="80">
        <v>1506.2</v>
      </c>
      <c r="D104" s="5">
        <f t="shared" si="52"/>
        <v>5.55</v>
      </c>
      <c r="E104" s="5"/>
      <c r="F104" s="7">
        <f t="shared" si="53"/>
        <v>2.85</v>
      </c>
      <c r="G104" s="2">
        <v>0.55</v>
      </c>
      <c r="H104" s="2">
        <f t="shared" si="54"/>
        <v>9940.920000000002</v>
      </c>
      <c r="I104" s="2">
        <v>1</v>
      </c>
      <c r="J104" s="2">
        <f t="shared" si="55"/>
        <v>18074.4</v>
      </c>
      <c r="K104" s="2">
        <v>1</v>
      </c>
      <c r="L104" s="2">
        <f t="shared" si="56"/>
        <v>18074.4</v>
      </c>
      <c r="M104" s="2"/>
      <c r="N104" s="2">
        <f t="shared" si="57"/>
        <v>0</v>
      </c>
      <c r="O104" s="2"/>
      <c r="P104" s="2">
        <f t="shared" si="58"/>
        <v>0</v>
      </c>
      <c r="Q104" s="2"/>
      <c r="R104" s="2">
        <f t="shared" si="59"/>
        <v>0</v>
      </c>
      <c r="S104" s="21">
        <v>0.2</v>
      </c>
      <c r="T104" s="21">
        <f t="shared" si="60"/>
        <v>3614.88</v>
      </c>
      <c r="U104" s="2">
        <v>0.1</v>
      </c>
      <c r="V104" s="21">
        <f t="shared" si="61"/>
        <v>1807.44</v>
      </c>
      <c r="W104" s="6">
        <f t="shared" si="62"/>
        <v>44</v>
      </c>
      <c r="X104" s="3" t="s">
        <v>103</v>
      </c>
      <c r="Y104" s="80">
        <v>1506.2</v>
      </c>
      <c r="Z104" s="32">
        <f t="shared" si="63"/>
        <v>1.7</v>
      </c>
      <c r="AA104" s="2">
        <v>0.5</v>
      </c>
      <c r="AB104" s="21">
        <f t="shared" si="64"/>
        <v>9037.2</v>
      </c>
      <c r="AC104" s="2">
        <v>0.5</v>
      </c>
      <c r="AD104" s="21">
        <f t="shared" si="65"/>
        <v>9037.2</v>
      </c>
      <c r="AE104" s="2">
        <v>0.5</v>
      </c>
      <c r="AF104" s="21">
        <f t="shared" si="26"/>
        <v>9037.2</v>
      </c>
      <c r="AG104" s="2"/>
      <c r="AH104" s="21">
        <f t="shared" si="66"/>
        <v>0</v>
      </c>
      <c r="AI104" s="2">
        <v>0.2</v>
      </c>
      <c r="AJ104" s="21">
        <f t="shared" si="67"/>
        <v>3614.88</v>
      </c>
      <c r="AK104" s="32">
        <f t="shared" si="68"/>
        <v>1</v>
      </c>
      <c r="AL104" s="1"/>
      <c r="AM104" s="21">
        <f t="shared" si="69"/>
        <v>0</v>
      </c>
      <c r="AN104" s="1"/>
      <c r="AO104" s="21">
        <f t="shared" si="70"/>
        <v>0</v>
      </c>
      <c r="AP104" s="197"/>
      <c r="AQ104" s="21">
        <f t="shared" si="71"/>
        <v>0</v>
      </c>
      <c r="AR104" s="1"/>
      <c r="AS104" s="21">
        <f t="shared" si="72"/>
        <v>0</v>
      </c>
      <c r="AT104" s="1">
        <v>1</v>
      </c>
      <c r="AU104" s="21">
        <f t="shared" si="73"/>
        <v>18074.4</v>
      </c>
      <c r="AV104" s="16"/>
    </row>
    <row r="105" spans="1:48" ht="12.75">
      <c r="A105" s="6">
        <f t="shared" si="50"/>
        <v>45</v>
      </c>
      <c r="B105" s="3" t="s">
        <v>104</v>
      </c>
      <c r="C105" s="80">
        <v>955.8</v>
      </c>
      <c r="D105" s="5">
        <f t="shared" si="52"/>
        <v>5.43</v>
      </c>
      <c r="E105" s="5"/>
      <c r="F105" s="7">
        <f t="shared" si="53"/>
        <v>1.73</v>
      </c>
      <c r="G105" s="2"/>
      <c r="H105" s="2">
        <f t="shared" si="54"/>
        <v>0</v>
      </c>
      <c r="I105" s="2">
        <v>0.7</v>
      </c>
      <c r="J105" s="2">
        <f t="shared" si="55"/>
        <v>8028.719999999999</v>
      </c>
      <c r="K105" s="2">
        <v>0.73</v>
      </c>
      <c r="L105" s="2">
        <f t="shared" si="56"/>
        <v>8372.807999999999</v>
      </c>
      <c r="M105" s="2"/>
      <c r="N105" s="2">
        <f t="shared" si="57"/>
        <v>0</v>
      </c>
      <c r="O105" s="2"/>
      <c r="P105" s="2">
        <f t="shared" si="58"/>
        <v>0</v>
      </c>
      <c r="Q105" s="2"/>
      <c r="R105" s="2">
        <f t="shared" si="59"/>
        <v>0</v>
      </c>
      <c r="S105" s="21">
        <v>0.1</v>
      </c>
      <c r="T105" s="21">
        <f t="shared" si="60"/>
        <v>1146.96</v>
      </c>
      <c r="U105" s="2">
        <v>0.2</v>
      </c>
      <c r="V105" s="21">
        <f t="shared" si="61"/>
        <v>2293.92</v>
      </c>
      <c r="W105" s="6">
        <f t="shared" si="62"/>
        <v>45</v>
      </c>
      <c r="X105" s="3" t="s">
        <v>104</v>
      </c>
      <c r="Y105" s="80">
        <v>955.8</v>
      </c>
      <c r="Z105" s="32">
        <f t="shared" si="63"/>
        <v>2.7</v>
      </c>
      <c r="AA105" s="2">
        <v>0.6</v>
      </c>
      <c r="AB105" s="21">
        <f t="shared" si="64"/>
        <v>6881.759999999998</v>
      </c>
      <c r="AC105" s="2">
        <v>0.5</v>
      </c>
      <c r="AD105" s="21">
        <f t="shared" si="65"/>
        <v>5734.799999999999</v>
      </c>
      <c r="AE105" s="2">
        <v>0.5</v>
      </c>
      <c r="AF105" s="21">
        <f t="shared" si="26"/>
        <v>5734.799999999999</v>
      </c>
      <c r="AG105" s="2">
        <v>0.9</v>
      </c>
      <c r="AH105" s="21">
        <f t="shared" si="66"/>
        <v>10322.64</v>
      </c>
      <c r="AI105" s="2">
        <v>0.2</v>
      </c>
      <c r="AJ105" s="21">
        <f t="shared" si="67"/>
        <v>2293.92</v>
      </c>
      <c r="AK105" s="32">
        <f t="shared" si="68"/>
        <v>1</v>
      </c>
      <c r="AL105" s="1"/>
      <c r="AM105" s="21">
        <f t="shared" si="69"/>
        <v>0</v>
      </c>
      <c r="AN105" s="1"/>
      <c r="AO105" s="21">
        <f t="shared" si="70"/>
        <v>0</v>
      </c>
      <c r="AP105" s="197"/>
      <c r="AQ105" s="21">
        <f t="shared" si="71"/>
        <v>0</v>
      </c>
      <c r="AR105" s="1"/>
      <c r="AS105" s="21">
        <f t="shared" si="72"/>
        <v>0</v>
      </c>
      <c r="AT105" s="1">
        <v>1</v>
      </c>
      <c r="AU105" s="21">
        <f t="shared" si="73"/>
        <v>11469.599999999999</v>
      </c>
      <c r="AV105" s="16"/>
    </row>
    <row r="106" spans="1:48" ht="12.75">
      <c r="A106" s="6">
        <f t="shared" si="50"/>
        <v>46</v>
      </c>
      <c r="B106" s="3" t="s">
        <v>105</v>
      </c>
      <c r="C106" s="80">
        <v>978.5</v>
      </c>
      <c r="D106" s="5">
        <f t="shared" si="52"/>
        <v>5.44</v>
      </c>
      <c r="E106" s="5"/>
      <c r="F106" s="7">
        <f t="shared" si="53"/>
        <v>3.8400000000000003</v>
      </c>
      <c r="G106" s="2">
        <v>2</v>
      </c>
      <c r="H106" s="2">
        <f t="shared" si="54"/>
        <v>23484</v>
      </c>
      <c r="I106" s="2">
        <v>1</v>
      </c>
      <c r="J106" s="2">
        <f t="shared" si="55"/>
        <v>11742</v>
      </c>
      <c r="K106" s="2">
        <v>0.44</v>
      </c>
      <c r="L106" s="2">
        <f t="shared" si="56"/>
        <v>5166.4800000000005</v>
      </c>
      <c r="M106" s="2"/>
      <c r="N106" s="2">
        <f t="shared" si="57"/>
        <v>0</v>
      </c>
      <c r="O106" s="2"/>
      <c r="P106" s="2">
        <f t="shared" si="58"/>
        <v>0</v>
      </c>
      <c r="Q106" s="2"/>
      <c r="R106" s="2">
        <f t="shared" si="59"/>
        <v>0</v>
      </c>
      <c r="S106" s="21">
        <v>0.2</v>
      </c>
      <c r="T106" s="21">
        <f t="shared" si="60"/>
        <v>2348.4</v>
      </c>
      <c r="U106" s="2">
        <v>0.2</v>
      </c>
      <c r="V106" s="21">
        <f t="shared" si="61"/>
        <v>2348.4</v>
      </c>
      <c r="W106" s="6">
        <f t="shared" si="62"/>
        <v>46</v>
      </c>
      <c r="X106" s="3" t="s">
        <v>105</v>
      </c>
      <c r="Y106" s="80">
        <v>978.5</v>
      </c>
      <c r="Z106" s="32">
        <f t="shared" si="63"/>
        <v>1.6</v>
      </c>
      <c r="AA106" s="2"/>
      <c r="AB106" s="21">
        <f t="shared" si="64"/>
        <v>0</v>
      </c>
      <c r="AC106" s="2">
        <v>0.8</v>
      </c>
      <c r="AD106" s="21">
        <f t="shared" si="65"/>
        <v>9393.6</v>
      </c>
      <c r="AE106" s="2">
        <v>0.8</v>
      </c>
      <c r="AF106" s="21">
        <f t="shared" si="26"/>
        <v>9393.6</v>
      </c>
      <c r="AG106" s="2"/>
      <c r="AH106" s="21">
        <f t="shared" si="66"/>
        <v>0</v>
      </c>
      <c r="AI106" s="2"/>
      <c r="AJ106" s="21">
        <f t="shared" si="67"/>
        <v>0</v>
      </c>
      <c r="AK106" s="32">
        <f t="shared" si="68"/>
        <v>0</v>
      </c>
      <c r="AL106" s="1"/>
      <c r="AM106" s="21">
        <f t="shared" si="69"/>
        <v>0</v>
      </c>
      <c r="AN106" s="1"/>
      <c r="AO106" s="21">
        <f t="shared" si="70"/>
        <v>0</v>
      </c>
      <c r="AP106" s="197"/>
      <c r="AQ106" s="21">
        <f t="shared" si="71"/>
        <v>0</v>
      </c>
      <c r="AR106" s="1"/>
      <c r="AS106" s="21">
        <f t="shared" si="72"/>
        <v>0</v>
      </c>
      <c r="AT106" s="1"/>
      <c r="AU106" s="21">
        <f t="shared" si="73"/>
        <v>0</v>
      </c>
      <c r="AV106" s="16"/>
    </row>
    <row r="107" spans="1:48" ht="12.75">
      <c r="A107" s="6">
        <f t="shared" si="50"/>
        <v>47</v>
      </c>
      <c r="B107" s="3" t="s">
        <v>106</v>
      </c>
      <c r="C107" s="168">
        <v>1251</v>
      </c>
      <c r="D107" s="5">
        <f t="shared" si="52"/>
        <v>5.3100000000000005</v>
      </c>
      <c r="E107" s="5"/>
      <c r="F107" s="7">
        <f t="shared" si="53"/>
        <v>3.41</v>
      </c>
      <c r="G107" s="2">
        <v>1.5</v>
      </c>
      <c r="H107" s="2">
        <f t="shared" si="54"/>
        <v>22518</v>
      </c>
      <c r="I107" s="2">
        <v>1</v>
      </c>
      <c r="J107" s="2">
        <f t="shared" si="55"/>
        <v>15012</v>
      </c>
      <c r="K107" s="2">
        <v>0.51</v>
      </c>
      <c r="L107" s="2">
        <f t="shared" si="56"/>
        <v>7656.12</v>
      </c>
      <c r="M107" s="2"/>
      <c r="N107" s="2">
        <f t="shared" si="57"/>
        <v>0</v>
      </c>
      <c r="O107" s="2"/>
      <c r="P107" s="2">
        <f t="shared" si="58"/>
        <v>0</v>
      </c>
      <c r="Q107" s="2"/>
      <c r="R107" s="2">
        <f t="shared" si="59"/>
        <v>0</v>
      </c>
      <c r="S107" s="21">
        <v>0.2</v>
      </c>
      <c r="T107" s="21">
        <f t="shared" si="60"/>
        <v>3002.4</v>
      </c>
      <c r="U107" s="2">
        <v>0.2</v>
      </c>
      <c r="V107" s="21">
        <f t="shared" si="61"/>
        <v>3002.4</v>
      </c>
      <c r="W107" s="6">
        <f t="shared" si="62"/>
        <v>47</v>
      </c>
      <c r="X107" s="3" t="s">
        <v>106</v>
      </c>
      <c r="Y107" s="168">
        <v>1251</v>
      </c>
      <c r="Z107" s="32">
        <f t="shared" si="63"/>
        <v>1.9000000000000001</v>
      </c>
      <c r="AA107" s="2">
        <v>0.2</v>
      </c>
      <c r="AB107" s="21">
        <f t="shared" si="64"/>
        <v>3002.4</v>
      </c>
      <c r="AC107" s="2">
        <v>0.8</v>
      </c>
      <c r="AD107" s="21">
        <f t="shared" si="65"/>
        <v>12009.6</v>
      </c>
      <c r="AE107" s="2">
        <v>0.8</v>
      </c>
      <c r="AF107" s="21">
        <f t="shared" si="26"/>
        <v>12009.6</v>
      </c>
      <c r="AG107" s="2"/>
      <c r="AH107" s="21">
        <f t="shared" si="66"/>
        <v>0</v>
      </c>
      <c r="AI107" s="2">
        <v>0.1</v>
      </c>
      <c r="AJ107" s="21">
        <f t="shared" si="67"/>
        <v>1501.2</v>
      </c>
      <c r="AK107" s="32">
        <f t="shared" si="68"/>
        <v>0</v>
      </c>
      <c r="AL107" s="1"/>
      <c r="AM107" s="21">
        <f t="shared" si="69"/>
        <v>0</v>
      </c>
      <c r="AN107" s="1"/>
      <c r="AO107" s="21">
        <f t="shared" si="70"/>
        <v>0</v>
      </c>
      <c r="AP107" s="197"/>
      <c r="AQ107" s="21">
        <f t="shared" si="71"/>
        <v>0</v>
      </c>
      <c r="AR107" s="1"/>
      <c r="AS107" s="21">
        <f t="shared" si="72"/>
        <v>0</v>
      </c>
      <c r="AT107" s="1"/>
      <c r="AU107" s="21">
        <f t="shared" si="73"/>
        <v>0</v>
      </c>
      <c r="AV107" s="16"/>
    </row>
    <row r="108" spans="1:48" ht="12.75">
      <c r="A108" s="6">
        <f t="shared" si="50"/>
        <v>48</v>
      </c>
      <c r="B108" s="3" t="s">
        <v>107</v>
      </c>
      <c r="C108" s="168">
        <v>2567</v>
      </c>
      <c r="D108" s="5">
        <f t="shared" si="52"/>
        <v>5.04</v>
      </c>
      <c r="E108" s="5"/>
      <c r="F108" s="7">
        <f t="shared" si="53"/>
        <v>1.24</v>
      </c>
      <c r="G108" s="2"/>
      <c r="H108" s="2">
        <f t="shared" si="54"/>
        <v>0</v>
      </c>
      <c r="I108" s="2"/>
      <c r="J108" s="2">
        <f t="shared" si="55"/>
        <v>0</v>
      </c>
      <c r="K108" s="2"/>
      <c r="L108" s="2">
        <f t="shared" si="56"/>
        <v>0</v>
      </c>
      <c r="M108" s="2">
        <v>1.24</v>
      </c>
      <c r="N108" s="2">
        <f t="shared" si="57"/>
        <v>38196.96</v>
      </c>
      <c r="O108" s="2"/>
      <c r="P108" s="2">
        <f t="shared" si="58"/>
        <v>0</v>
      </c>
      <c r="Q108" s="2"/>
      <c r="R108" s="2">
        <f t="shared" si="59"/>
        <v>0</v>
      </c>
      <c r="S108" s="21"/>
      <c r="T108" s="21">
        <f t="shared" si="60"/>
        <v>0</v>
      </c>
      <c r="U108" s="2"/>
      <c r="V108" s="21">
        <f t="shared" si="61"/>
        <v>0</v>
      </c>
      <c r="W108" s="6">
        <f t="shared" si="62"/>
        <v>48</v>
      </c>
      <c r="X108" s="3" t="s">
        <v>107</v>
      </c>
      <c r="Y108" s="168">
        <v>2567</v>
      </c>
      <c r="Z108" s="32">
        <f t="shared" si="63"/>
        <v>3</v>
      </c>
      <c r="AA108" s="2">
        <v>1.5</v>
      </c>
      <c r="AB108" s="21">
        <f t="shared" si="64"/>
        <v>46206</v>
      </c>
      <c r="AC108" s="2"/>
      <c r="AD108" s="21">
        <f t="shared" si="65"/>
        <v>0</v>
      </c>
      <c r="AE108" s="2"/>
      <c r="AF108" s="21">
        <f t="shared" si="26"/>
        <v>0</v>
      </c>
      <c r="AG108" s="2">
        <v>1.5</v>
      </c>
      <c r="AH108" s="21">
        <f t="shared" si="66"/>
        <v>46206</v>
      </c>
      <c r="AI108" s="2"/>
      <c r="AJ108" s="21">
        <f t="shared" si="67"/>
        <v>0</v>
      </c>
      <c r="AK108" s="32">
        <f t="shared" si="68"/>
        <v>0.8</v>
      </c>
      <c r="AL108" s="1"/>
      <c r="AM108" s="21">
        <f t="shared" si="69"/>
        <v>0</v>
      </c>
      <c r="AN108" s="1"/>
      <c r="AO108" s="21">
        <f t="shared" si="70"/>
        <v>0</v>
      </c>
      <c r="AP108" s="197"/>
      <c r="AQ108" s="21">
        <f t="shared" si="71"/>
        <v>0</v>
      </c>
      <c r="AR108" s="1"/>
      <c r="AS108" s="21">
        <f t="shared" si="72"/>
        <v>0</v>
      </c>
      <c r="AT108" s="1">
        <v>0.8</v>
      </c>
      <c r="AU108" s="21">
        <f t="shared" si="73"/>
        <v>24643.199999999997</v>
      </c>
      <c r="AV108" s="16"/>
    </row>
    <row r="109" spans="1:48" ht="12.75">
      <c r="A109" s="6">
        <f t="shared" si="50"/>
        <v>49</v>
      </c>
      <c r="B109" s="3" t="s">
        <v>108</v>
      </c>
      <c r="C109" s="80">
        <v>2489.2</v>
      </c>
      <c r="D109" s="5">
        <f t="shared" si="52"/>
        <v>4.82</v>
      </c>
      <c r="E109" s="5"/>
      <c r="F109" s="7">
        <f t="shared" si="53"/>
        <v>3.22</v>
      </c>
      <c r="G109" s="2"/>
      <c r="H109" s="2">
        <f t="shared" si="54"/>
        <v>0</v>
      </c>
      <c r="I109" s="2"/>
      <c r="J109" s="2">
        <f t="shared" si="55"/>
        <v>0</v>
      </c>
      <c r="K109" s="2"/>
      <c r="L109" s="2">
        <f t="shared" si="56"/>
        <v>0</v>
      </c>
      <c r="M109" s="2">
        <v>2.92</v>
      </c>
      <c r="N109" s="2">
        <f t="shared" si="57"/>
        <v>87221.56799999998</v>
      </c>
      <c r="O109" s="2"/>
      <c r="P109" s="2">
        <f t="shared" si="58"/>
        <v>0</v>
      </c>
      <c r="Q109" s="2"/>
      <c r="R109" s="2">
        <f t="shared" si="59"/>
        <v>0</v>
      </c>
      <c r="S109" s="21">
        <v>0.2</v>
      </c>
      <c r="T109" s="21">
        <f t="shared" si="60"/>
        <v>5974.08</v>
      </c>
      <c r="U109" s="2">
        <v>0.1</v>
      </c>
      <c r="V109" s="21">
        <f t="shared" si="61"/>
        <v>2987.04</v>
      </c>
      <c r="W109" s="6">
        <f t="shared" si="62"/>
        <v>49</v>
      </c>
      <c r="X109" s="3" t="s">
        <v>108</v>
      </c>
      <c r="Y109" s="80">
        <v>2489.2</v>
      </c>
      <c r="Z109" s="32">
        <f t="shared" si="63"/>
        <v>0.6</v>
      </c>
      <c r="AA109" s="2">
        <v>0.3</v>
      </c>
      <c r="AB109" s="21">
        <f t="shared" si="64"/>
        <v>8961.119999999999</v>
      </c>
      <c r="AC109" s="2"/>
      <c r="AD109" s="21">
        <f t="shared" si="65"/>
        <v>0</v>
      </c>
      <c r="AE109" s="2"/>
      <c r="AF109" s="21">
        <f t="shared" si="26"/>
        <v>0</v>
      </c>
      <c r="AG109" s="2">
        <v>0.2</v>
      </c>
      <c r="AH109" s="21">
        <f t="shared" si="66"/>
        <v>5974.08</v>
      </c>
      <c r="AI109" s="2">
        <v>0.1</v>
      </c>
      <c r="AJ109" s="21">
        <f t="shared" si="67"/>
        <v>2987.04</v>
      </c>
      <c r="AK109" s="32">
        <f t="shared" si="68"/>
        <v>1</v>
      </c>
      <c r="AL109" s="1"/>
      <c r="AM109" s="21">
        <f t="shared" si="69"/>
        <v>0</v>
      </c>
      <c r="AN109" s="1"/>
      <c r="AO109" s="21">
        <f t="shared" si="70"/>
        <v>0</v>
      </c>
      <c r="AP109" s="197"/>
      <c r="AQ109" s="21">
        <f t="shared" si="71"/>
        <v>0</v>
      </c>
      <c r="AR109" s="1"/>
      <c r="AS109" s="21">
        <f t="shared" si="72"/>
        <v>0</v>
      </c>
      <c r="AT109" s="1">
        <v>1</v>
      </c>
      <c r="AU109" s="21">
        <f t="shared" si="73"/>
        <v>29870.399999999998</v>
      </c>
      <c r="AV109" s="16"/>
    </row>
    <row r="110" spans="1:48" ht="12.75">
      <c r="A110" s="6">
        <f t="shared" si="50"/>
        <v>50</v>
      </c>
      <c r="B110" s="3" t="s">
        <v>207</v>
      </c>
      <c r="C110" s="80">
        <v>1739.6</v>
      </c>
      <c r="D110" s="5">
        <f t="shared" si="52"/>
        <v>5.55</v>
      </c>
      <c r="E110" s="5"/>
      <c r="F110" s="7">
        <f t="shared" si="53"/>
        <v>3.7</v>
      </c>
      <c r="G110" s="2">
        <v>0.8</v>
      </c>
      <c r="H110" s="2">
        <f t="shared" si="54"/>
        <v>16700.16</v>
      </c>
      <c r="I110" s="2"/>
      <c r="J110" s="2">
        <f t="shared" si="55"/>
        <v>0</v>
      </c>
      <c r="K110" s="190"/>
      <c r="L110" s="2">
        <f t="shared" si="56"/>
        <v>0</v>
      </c>
      <c r="M110" s="2">
        <v>2.5</v>
      </c>
      <c r="N110" s="2">
        <f t="shared" si="57"/>
        <v>52188</v>
      </c>
      <c r="O110" s="190"/>
      <c r="P110" s="2">
        <f t="shared" si="58"/>
        <v>0</v>
      </c>
      <c r="Q110" s="190"/>
      <c r="R110" s="2">
        <f t="shared" si="59"/>
        <v>0</v>
      </c>
      <c r="S110" s="2">
        <v>0.2</v>
      </c>
      <c r="T110" s="21">
        <f t="shared" si="60"/>
        <v>4175.04</v>
      </c>
      <c r="U110" s="2">
        <v>0.2</v>
      </c>
      <c r="V110" s="21">
        <f t="shared" si="61"/>
        <v>4175.04</v>
      </c>
      <c r="W110" s="6">
        <f t="shared" si="62"/>
        <v>50</v>
      </c>
      <c r="X110" s="3" t="s">
        <v>207</v>
      </c>
      <c r="Y110" s="80">
        <v>1739.6</v>
      </c>
      <c r="Z110" s="32">
        <f t="shared" si="63"/>
        <v>0.3</v>
      </c>
      <c r="AA110" s="2"/>
      <c r="AB110" s="21">
        <f t="shared" si="64"/>
        <v>0</v>
      </c>
      <c r="AC110" s="2">
        <v>0.3</v>
      </c>
      <c r="AD110" s="21">
        <f t="shared" si="65"/>
        <v>6262.5599999999995</v>
      </c>
      <c r="AE110" s="190"/>
      <c r="AF110" s="21">
        <f t="shared" si="26"/>
        <v>0</v>
      </c>
      <c r="AG110" s="190"/>
      <c r="AH110" s="21">
        <f t="shared" si="66"/>
        <v>0</v>
      </c>
      <c r="AI110" s="190"/>
      <c r="AJ110" s="21">
        <f t="shared" si="67"/>
        <v>0</v>
      </c>
      <c r="AK110" s="32">
        <f t="shared" si="68"/>
        <v>1.55</v>
      </c>
      <c r="AL110" s="190">
        <v>1.55</v>
      </c>
      <c r="AM110" s="21">
        <f t="shared" si="69"/>
        <v>32356.56</v>
      </c>
      <c r="AN110" s="190"/>
      <c r="AO110" s="21">
        <f t="shared" si="70"/>
        <v>0</v>
      </c>
      <c r="AP110" s="190"/>
      <c r="AQ110" s="21">
        <f t="shared" si="71"/>
        <v>0</v>
      </c>
      <c r="AR110" s="190"/>
      <c r="AS110" s="21">
        <f t="shared" si="72"/>
        <v>0</v>
      </c>
      <c r="AT110" s="190"/>
      <c r="AU110" s="21">
        <f t="shared" si="73"/>
        <v>0</v>
      </c>
      <c r="AV110" s="16"/>
    </row>
    <row r="111" spans="1:48" ht="12.75">
      <c r="A111" s="6">
        <f t="shared" si="50"/>
        <v>51</v>
      </c>
      <c r="B111" s="3" t="s">
        <v>52</v>
      </c>
      <c r="C111" s="80">
        <v>4502.7</v>
      </c>
      <c r="D111" s="5">
        <f t="shared" si="52"/>
        <v>6.17</v>
      </c>
      <c r="E111" s="5"/>
      <c r="F111" s="7">
        <f t="shared" si="53"/>
        <v>1.67</v>
      </c>
      <c r="G111" s="2">
        <v>0.5</v>
      </c>
      <c r="H111" s="2">
        <f t="shared" si="54"/>
        <v>27016.199999999997</v>
      </c>
      <c r="I111" s="2"/>
      <c r="J111" s="2">
        <f t="shared" si="55"/>
        <v>0</v>
      </c>
      <c r="K111" s="2">
        <v>0.77</v>
      </c>
      <c r="L111" s="2">
        <f t="shared" si="56"/>
        <v>41604.948</v>
      </c>
      <c r="M111" s="2"/>
      <c r="N111" s="2">
        <f t="shared" si="57"/>
        <v>0</v>
      </c>
      <c r="O111" s="2"/>
      <c r="P111" s="2">
        <f t="shared" si="58"/>
        <v>0</v>
      </c>
      <c r="Q111" s="2"/>
      <c r="R111" s="2">
        <f t="shared" si="59"/>
        <v>0</v>
      </c>
      <c r="S111" s="2">
        <v>0.2</v>
      </c>
      <c r="T111" s="21">
        <f t="shared" si="60"/>
        <v>10806.48</v>
      </c>
      <c r="U111" s="2">
        <v>0.2</v>
      </c>
      <c r="V111" s="21">
        <f t="shared" si="61"/>
        <v>10806.48</v>
      </c>
      <c r="W111" s="6">
        <f t="shared" si="62"/>
        <v>51</v>
      </c>
      <c r="X111" s="3" t="s">
        <v>52</v>
      </c>
      <c r="Y111" s="80">
        <v>4502.7</v>
      </c>
      <c r="Z111" s="32">
        <f t="shared" si="63"/>
        <v>1.9000000000000001</v>
      </c>
      <c r="AA111" s="2">
        <v>0.7</v>
      </c>
      <c r="AB111" s="21">
        <f t="shared" si="64"/>
        <v>37822.68</v>
      </c>
      <c r="AC111" s="2">
        <v>0.3</v>
      </c>
      <c r="AD111" s="21">
        <f t="shared" si="65"/>
        <v>16209.72</v>
      </c>
      <c r="AE111" s="2">
        <v>0.3</v>
      </c>
      <c r="AF111" s="21">
        <f t="shared" si="26"/>
        <v>16209.72</v>
      </c>
      <c r="AG111" s="2">
        <v>0.4</v>
      </c>
      <c r="AH111" s="21">
        <f t="shared" si="66"/>
        <v>21612.96</v>
      </c>
      <c r="AI111" s="2">
        <v>0.2</v>
      </c>
      <c r="AJ111" s="21">
        <f t="shared" si="67"/>
        <v>10806.48</v>
      </c>
      <c r="AK111" s="32">
        <f t="shared" si="68"/>
        <v>2.6</v>
      </c>
      <c r="AL111" s="6">
        <v>0.6</v>
      </c>
      <c r="AM111" s="21">
        <f t="shared" si="69"/>
        <v>32419.44</v>
      </c>
      <c r="AN111" s="6">
        <v>1.5</v>
      </c>
      <c r="AO111" s="21">
        <f t="shared" si="70"/>
        <v>81048.59999999999</v>
      </c>
      <c r="AP111" s="197"/>
      <c r="AQ111" s="21">
        <f t="shared" si="71"/>
        <v>0</v>
      </c>
      <c r="AR111" s="6">
        <v>0.5</v>
      </c>
      <c r="AS111" s="21">
        <f t="shared" si="72"/>
        <v>27016.199999999997</v>
      </c>
      <c r="AT111" s="6"/>
      <c r="AU111" s="21">
        <f t="shared" si="73"/>
        <v>0</v>
      </c>
      <c r="AV111" s="16"/>
    </row>
    <row r="112" spans="1:48" ht="12.75">
      <c r="A112" s="6">
        <f t="shared" si="50"/>
        <v>52</v>
      </c>
      <c r="B112" s="3" t="s">
        <v>53</v>
      </c>
      <c r="C112" s="80">
        <v>3357.6</v>
      </c>
      <c r="D112" s="5">
        <f t="shared" si="52"/>
        <v>5.5</v>
      </c>
      <c r="E112" s="5"/>
      <c r="F112" s="7">
        <f t="shared" si="53"/>
        <v>1.2200000000000002</v>
      </c>
      <c r="G112" s="2">
        <v>0.5</v>
      </c>
      <c r="H112" s="2">
        <f t="shared" si="54"/>
        <v>20145.6</v>
      </c>
      <c r="I112" s="2"/>
      <c r="J112" s="2">
        <f t="shared" si="55"/>
        <v>0</v>
      </c>
      <c r="K112" s="2"/>
      <c r="L112" s="2">
        <f t="shared" si="56"/>
        <v>0</v>
      </c>
      <c r="M112" s="2"/>
      <c r="N112" s="2">
        <f t="shared" si="57"/>
        <v>0</v>
      </c>
      <c r="O112" s="2">
        <v>0.4</v>
      </c>
      <c r="P112" s="2">
        <f t="shared" si="58"/>
        <v>16116.48</v>
      </c>
      <c r="Q112" s="2"/>
      <c r="R112" s="2">
        <f t="shared" si="59"/>
        <v>0</v>
      </c>
      <c r="S112" s="2">
        <v>0.22</v>
      </c>
      <c r="T112" s="21">
        <f t="shared" si="60"/>
        <v>8864.064</v>
      </c>
      <c r="U112" s="2">
        <v>0.1</v>
      </c>
      <c r="V112" s="21">
        <f t="shared" si="61"/>
        <v>4029.12</v>
      </c>
      <c r="W112" s="6">
        <f t="shared" si="62"/>
        <v>52</v>
      </c>
      <c r="X112" s="3" t="s">
        <v>53</v>
      </c>
      <c r="Y112" s="80">
        <v>3357.6</v>
      </c>
      <c r="Z112" s="32">
        <f t="shared" si="63"/>
        <v>1.1700000000000002</v>
      </c>
      <c r="AA112" s="2">
        <v>0.57</v>
      </c>
      <c r="AB112" s="21">
        <f t="shared" si="64"/>
        <v>22965.983999999997</v>
      </c>
      <c r="AC112" s="2">
        <v>0.2</v>
      </c>
      <c r="AD112" s="21">
        <f t="shared" si="65"/>
        <v>8058.24</v>
      </c>
      <c r="AE112" s="2">
        <v>0.2</v>
      </c>
      <c r="AF112" s="21">
        <f t="shared" si="26"/>
        <v>8058.24</v>
      </c>
      <c r="AG112" s="2">
        <v>0.1</v>
      </c>
      <c r="AH112" s="21">
        <f t="shared" si="66"/>
        <v>4029.12</v>
      </c>
      <c r="AI112" s="2">
        <v>0.1</v>
      </c>
      <c r="AJ112" s="21">
        <f t="shared" si="67"/>
        <v>4029.12</v>
      </c>
      <c r="AK112" s="32">
        <f t="shared" si="68"/>
        <v>2.26</v>
      </c>
      <c r="AL112" s="6">
        <v>0.6</v>
      </c>
      <c r="AM112" s="21">
        <f t="shared" si="69"/>
        <v>24174.72</v>
      </c>
      <c r="AN112" s="6">
        <v>1.36</v>
      </c>
      <c r="AO112" s="21">
        <f t="shared" si="70"/>
        <v>54796.03200000001</v>
      </c>
      <c r="AP112" s="197"/>
      <c r="AQ112" s="21">
        <f t="shared" si="71"/>
        <v>0</v>
      </c>
      <c r="AR112" s="6">
        <v>0.3</v>
      </c>
      <c r="AS112" s="21">
        <f t="shared" si="72"/>
        <v>12087.36</v>
      </c>
      <c r="AT112" s="6"/>
      <c r="AU112" s="21">
        <f t="shared" si="73"/>
        <v>0</v>
      </c>
      <c r="AV112" s="16">
        <v>0.85</v>
      </c>
    </row>
    <row r="113" spans="1:48" ht="12.75">
      <c r="A113" s="6">
        <f t="shared" si="50"/>
        <v>53</v>
      </c>
      <c r="B113" s="3" t="s">
        <v>54</v>
      </c>
      <c r="C113" s="80">
        <v>3319.6</v>
      </c>
      <c r="D113" s="5">
        <f t="shared" si="52"/>
        <v>6.09</v>
      </c>
      <c r="E113" s="5"/>
      <c r="F113" s="7">
        <f t="shared" si="53"/>
        <v>4.04</v>
      </c>
      <c r="G113" s="2">
        <v>0.3</v>
      </c>
      <c r="H113" s="2">
        <f t="shared" si="54"/>
        <v>11950.559999999998</v>
      </c>
      <c r="I113" s="2"/>
      <c r="J113" s="2">
        <f t="shared" si="55"/>
        <v>0</v>
      </c>
      <c r="K113" s="2"/>
      <c r="L113" s="2">
        <f t="shared" si="56"/>
        <v>0</v>
      </c>
      <c r="M113" s="2">
        <v>3.14</v>
      </c>
      <c r="N113" s="2">
        <f t="shared" si="57"/>
        <v>125082.52799999999</v>
      </c>
      <c r="O113" s="2">
        <v>0.3</v>
      </c>
      <c r="P113" s="2">
        <f t="shared" si="58"/>
        <v>11950.559999999998</v>
      </c>
      <c r="Q113" s="2"/>
      <c r="R113" s="2">
        <f t="shared" si="59"/>
        <v>0</v>
      </c>
      <c r="S113" s="2">
        <v>0.2</v>
      </c>
      <c r="T113" s="21">
        <f t="shared" si="60"/>
        <v>7967.040000000001</v>
      </c>
      <c r="U113" s="2">
        <v>0.1</v>
      </c>
      <c r="V113" s="21">
        <f t="shared" si="61"/>
        <v>3983.5200000000004</v>
      </c>
      <c r="W113" s="6">
        <f t="shared" si="62"/>
        <v>53</v>
      </c>
      <c r="X113" s="3" t="s">
        <v>54</v>
      </c>
      <c r="Y113" s="80">
        <v>3319.6</v>
      </c>
      <c r="Z113" s="32">
        <f t="shared" si="63"/>
        <v>1</v>
      </c>
      <c r="AA113" s="2">
        <v>0.2</v>
      </c>
      <c r="AB113" s="21">
        <f t="shared" si="64"/>
        <v>7967.040000000001</v>
      </c>
      <c r="AC113" s="2">
        <v>0.1</v>
      </c>
      <c r="AD113" s="21">
        <f t="shared" si="65"/>
        <v>3983.5200000000004</v>
      </c>
      <c r="AE113" s="2">
        <v>0.1</v>
      </c>
      <c r="AF113" s="21">
        <f t="shared" si="26"/>
        <v>3983.5200000000004</v>
      </c>
      <c r="AG113" s="2">
        <v>0.5</v>
      </c>
      <c r="AH113" s="21">
        <f t="shared" si="66"/>
        <v>19917.6</v>
      </c>
      <c r="AI113" s="2">
        <v>0.1</v>
      </c>
      <c r="AJ113" s="21">
        <f t="shared" si="67"/>
        <v>3983.5200000000004</v>
      </c>
      <c r="AK113" s="32">
        <f t="shared" si="68"/>
        <v>0.2</v>
      </c>
      <c r="AL113" s="6"/>
      <c r="AM113" s="21">
        <f t="shared" si="69"/>
        <v>0</v>
      </c>
      <c r="AN113" s="6"/>
      <c r="AO113" s="21">
        <f>AN113*C113*12</f>
        <v>0</v>
      </c>
      <c r="AP113" s="197"/>
      <c r="AQ113" s="21">
        <f t="shared" si="71"/>
        <v>0</v>
      </c>
      <c r="AR113" s="6">
        <v>0.2</v>
      </c>
      <c r="AS113" s="21">
        <f t="shared" si="72"/>
        <v>7967.040000000001</v>
      </c>
      <c r="AT113" s="6"/>
      <c r="AU113" s="21">
        <f t="shared" si="73"/>
        <v>0</v>
      </c>
      <c r="AV113" s="16">
        <v>0.85</v>
      </c>
    </row>
    <row r="114" spans="1:48" ht="12.75">
      <c r="A114" s="6">
        <f t="shared" si="50"/>
        <v>54</v>
      </c>
      <c r="B114" s="3" t="s">
        <v>55</v>
      </c>
      <c r="C114" s="170">
        <v>4489</v>
      </c>
      <c r="D114" s="5">
        <f t="shared" si="52"/>
        <v>5.7</v>
      </c>
      <c r="E114" s="5"/>
      <c r="F114" s="7">
        <f t="shared" si="53"/>
        <v>3.8899999999999997</v>
      </c>
      <c r="G114" s="2">
        <v>0.3</v>
      </c>
      <c r="H114" s="2">
        <f t="shared" si="54"/>
        <v>16160.400000000001</v>
      </c>
      <c r="I114" s="2"/>
      <c r="J114" s="2">
        <f t="shared" si="55"/>
        <v>0</v>
      </c>
      <c r="K114" s="2"/>
      <c r="L114" s="2">
        <f t="shared" si="56"/>
        <v>0</v>
      </c>
      <c r="M114" s="2">
        <v>3.28</v>
      </c>
      <c r="N114" s="2">
        <f t="shared" si="57"/>
        <v>176687.03999999998</v>
      </c>
      <c r="O114" s="2"/>
      <c r="P114" s="2">
        <f t="shared" si="58"/>
        <v>0</v>
      </c>
      <c r="Q114" s="2"/>
      <c r="R114" s="2">
        <f t="shared" si="59"/>
        <v>0</v>
      </c>
      <c r="S114" s="2">
        <v>0.2</v>
      </c>
      <c r="T114" s="21">
        <f t="shared" si="60"/>
        <v>10773.6</v>
      </c>
      <c r="U114" s="2">
        <v>0.11</v>
      </c>
      <c r="V114" s="21">
        <f t="shared" si="61"/>
        <v>5925.4800000000005</v>
      </c>
      <c r="W114" s="6">
        <f t="shared" si="62"/>
        <v>54</v>
      </c>
      <c r="X114" s="3" t="s">
        <v>55</v>
      </c>
      <c r="Y114" s="170">
        <v>4489</v>
      </c>
      <c r="Z114" s="32">
        <f t="shared" si="63"/>
        <v>1.3100000000000003</v>
      </c>
      <c r="AA114" s="2">
        <v>0.5</v>
      </c>
      <c r="AB114" s="21">
        <f t="shared" si="64"/>
        <v>26934</v>
      </c>
      <c r="AC114" s="2">
        <v>0.4</v>
      </c>
      <c r="AD114" s="21">
        <f t="shared" si="65"/>
        <v>21547.2</v>
      </c>
      <c r="AE114" s="2">
        <v>0.2</v>
      </c>
      <c r="AF114" s="21">
        <f t="shared" si="26"/>
        <v>10773.6</v>
      </c>
      <c r="AG114" s="2">
        <v>0.1</v>
      </c>
      <c r="AH114" s="21">
        <f t="shared" si="66"/>
        <v>5386.8</v>
      </c>
      <c r="AI114" s="2">
        <v>0.11</v>
      </c>
      <c r="AJ114" s="21">
        <f t="shared" si="67"/>
        <v>5925.4800000000005</v>
      </c>
      <c r="AK114" s="32">
        <f t="shared" si="68"/>
        <v>0.5</v>
      </c>
      <c r="AL114" s="6"/>
      <c r="AM114" s="21">
        <f t="shared" si="69"/>
        <v>0</v>
      </c>
      <c r="AN114" s="6"/>
      <c r="AO114" s="21">
        <f t="shared" si="70"/>
        <v>0</v>
      </c>
      <c r="AP114" s="197"/>
      <c r="AQ114" s="21">
        <f t="shared" si="71"/>
        <v>0</v>
      </c>
      <c r="AR114" s="6">
        <v>0.5</v>
      </c>
      <c r="AS114" s="21">
        <f t="shared" si="72"/>
        <v>26934</v>
      </c>
      <c r="AT114" s="6"/>
      <c r="AU114" s="21">
        <f t="shared" si="73"/>
        <v>0</v>
      </c>
      <c r="AV114" s="16"/>
    </row>
    <row r="115" spans="1:48" ht="12.75">
      <c r="A115" s="6">
        <f t="shared" si="50"/>
        <v>55</v>
      </c>
      <c r="B115" s="3" t="s">
        <v>56</v>
      </c>
      <c r="C115" s="43">
        <v>2236.7</v>
      </c>
      <c r="D115" s="5">
        <f t="shared" si="52"/>
        <v>5.75</v>
      </c>
      <c r="E115" s="5"/>
      <c r="F115" s="7">
        <f t="shared" si="53"/>
        <v>2.0000000000000004</v>
      </c>
      <c r="G115" s="2">
        <v>0.9</v>
      </c>
      <c r="H115" s="2">
        <f t="shared" si="54"/>
        <v>24156.36</v>
      </c>
      <c r="I115" s="2">
        <v>0.8</v>
      </c>
      <c r="J115" s="2">
        <f t="shared" si="55"/>
        <v>21472.32</v>
      </c>
      <c r="K115" s="2"/>
      <c r="L115" s="2">
        <f t="shared" si="56"/>
        <v>0</v>
      </c>
      <c r="M115" s="2"/>
      <c r="N115" s="2">
        <f t="shared" si="57"/>
        <v>0</v>
      </c>
      <c r="O115" s="2">
        <v>0.1</v>
      </c>
      <c r="P115" s="2">
        <f t="shared" si="58"/>
        <v>2684.04</v>
      </c>
      <c r="Q115" s="2"/>
      <c r="R115" s="2">
        <f t="shared" si="59"/>
        <v>0</v>
      </c>
      <c r="S115" s="2">
        <v>0.1</v>
      </c>
      <c r="T115" s="21">
        <f t="shared" si="60"/>
        <v>2684.04</v>
      </c>
      <c r="U115" s="2">
        <v>0.1</v>
      </c>
      <c r="V115" s="21">
        <f t="shared" si="61"/>
        <v>2684.04</v>
      </c>
      <c r="W115" s="6">
        <f t="shared" si="62"/>
        <v>55</v>
      </c>
      <c r="X115" s="3" t="s">
        <v>56</v>
      </c>
      <c r="Y115" s="43">
        <v>2236.7</v>
      </c>
      <c r="Z115" s="32">
        <f t="shared" si="63"/>
        <v>2.1</v>
      </c>
      <c r="AA115" s="2">
        <v>1</v>
      </c>
      <c r="AB115" s="21">
        <f t="shared" si="64"/>
        <v>26840.399999999998</v>
      </c>
      <c r="AC115" s="2">
        <v>0.3</v>
      </c>
      <c r="AD115" s="21">
        <f t="shared" si="65"/>
        <v>8052.119999999999</v>
      </c>
      <c r="AE115" s="2">
        <v>0.3</v>
      </c>
      <c r="AF115" s="21">
        <f t="shared" si="26"/>
        <v>8052.119999999999</v>
      </c>
      <c r="AG115" s="2">
        <v>0.4</v>
      </c>
      <c r="AH115" s="21">
        <f t="shared" si="66"/>
        <v>10736.16</v>
      </c>
      <c r="AI115" s="2">
        <v>0.1</v>
      </c>
      <c r="AJ115" s="21">
        <f t="shared" si="67"/>
        <v>2684.04</v>
      </c>
      <c r="AK115" s="32">
        <f t="shared" si="68"/>
        <v>1.65</v>
      </c>
      <c r="AL115" s="6">
        <v>0.49</v>
      </c>
      <c r="AM115" s="21">
        <f t="shared" si="69"/>
        <v>13151.795999999998</v>
      </c>
      <c r="AN115" s="6">
        <v>1.16</v>
      </c>
      <c r="AO115" s="21">
        <f t="shared" si="70"/>
        <v>31134.863999999994</v>
      </c>
      <c r="AP115" s="197"/>
      <c r="AQ115" s="21">
        <f t="shared" si="71"/>
        <v>0</v>
      </c>
      <c r="AR115" s="6"/>
      <c r="AS115" s="21">
        <f t="shared" si="72"/>
        <v>0</v>
      </c>
      <c r="AT115" s="6"/>
      <c r="AU115" s="21">
        <f t="shared" si="73"/>
        <v>0</v>
      </c>
      <c r="AV115" s="16"/>
    </row>
    <row r="116" spans="1:48" ht="12.75">
      <c r="A116" s="6">
        <f t="shared" si="50"/>
        <v>56</v>
      </c>
      <c r="B116" s="3" t="s">
        <v>57</v>
      </c>
      <c r="C116" s="80">
        <v>3307.96</v>
      </c>
      <c r="D116" s="5">
        <f t="shared" si="52"/>
        <v>5.890000000000001</v>
      </c>
      <c r="E116" s="5"/>
      <c r="F116" s="7">
        <f t="shared" si="53"/>
        <v>2.5500000000000003</v>
      </c>
      <c r="G116" s="2">
        <v>1.2</v>
      </c>
      <c r="H116" s="2">
        <f t="shared" si="54"/>
        <v>47634.623999999996</v>
      </c>
      <c r="I116" s="2">
        <v>0.65</v>
      </c>
      <c r="J116" s="2">
        <f t="shared" si="55"/>
        <v>25802.088</v>
      </c>
      <c r="K116" s="2"/>
      <c r="L116" s="2">
        <f t="shared" si="56"/>
        <v>0</v>
      </c>
      <c r="M116" s="2"/>
      <c r="N116" s="2">
        <f t="shared" si="57"/>
        <v>0</v>
      </c>
      <c r="O116" s="2"/>
      <c r="P116" s="2">
        <f t="shared" si="58"/>
        <v>0</v>
      </c>
      <c r="Q116" s="2"/>
      <c r="R116" s="2">
        <f t="shared" si="59"/>
        <v>0</v>
      </c>
      <c r="S116" s="2">
        <v>0.5</v>
      </c>
      <c r="T116" s="21">
        <f t="shared" si="60"/>
        <v>19847.760000000002</v>
      </c>
      <c r="U116" s="2">
        <v>0.2</v>
      </c>
      <c r="V116" s="21">
        <f t="shared" si="61"/>
        <v>7939.104000000001</v>
      </c>
      <c r="W116" s="6">
        <f t="shared" si="62"/>
        <v>56</v>
      </c>
      <c r="X116" s="3" t="s">
        <v>57</v>
      </c>
      <c r="Y116" s="80">
        <v>3307.96</v>
      </c>
      <c r="Z116" s="32">
        <f t="shared" si="63"/>
        <v>1.1400000000000001</v>
      </c>
      <c r="AA116" s="2">
        <v>0.34</v>
      </c>
      <c r="AB116" s="21">
        <f t="shared" si="64"/>
        <v>13496.4768</v>
      </c>
      <c r="AC116" s="2">
        <v>0.1</v>
      </c>
      <c r="AD116" s="21">
        <f t="shared" si="65"/>
        <v>3969.5520000000006</v>
      </c>
      <c r="AE116" s="2">
        <v>0.1</v>
      </c>
      <c r="AF116" s="21">
        <f t="shared" si="26"/>
        <v>3969.5520000000006</v>
      </c>
      <c r="AG116" s="2">
        <v>0.4</v>
      </c>
      <c r="AH116" s="21">
        <f t="shared" si="66"/>
        <v>15878.208000000002</v>
      </c>
      <c r="AI116" s="2">
        <v>0.2</v>
      </c>
      <c r="AJ116" s="21">
        <f t="shared" si="67"/>
        <v>7939.104000000001</v>
      </c>
      <c r="AK116" s="32">
        <f t="shared" si="68"/>
        <v>1.2</v>
      </c>
      <c r="AL116" s="6">
        <v>1.2</v>
      </c>
      <c r="AM116" s="21">
        <f t="shared" si="69"/>
        <v>47634.623999999996</v>
      </c>
      <c r="AN116" s="6"/>
      <c r="AO116" s="21">
        <f t="shared" si="70"/>
        <v>0</v>
      </c>
      <c r="AP116" s="197"/>
      <c r="AQ116" s="21">
        <f t="shared" si="71"/>
        <v>0</v>
      </c>
      <c r="AR116" s="6"/>
      <c r="AS116" s="21">
        <f t="shared" si="72"/>
        <v>0</v>
      </c>
      <c r="AT116" s="6"/>
      <c r="AU116" s="21">
        <f t="shared" si="73"/>
        <v>0</v>
      </c>
      <c r="AV116" s="16">
        <v>1</v>
      </c>
    </row>
    <row r="117" spans="1:48" ht="12.75">
      <c r="A117" s="6">
        <f t="shared" si="50"/>
        <v>57</v>
      </c>
      <c r="B117" s="3" t="s">
        <v>58</v>
      </c>
      <c r="C117" s="80">
        <v>3333.9</v>
      </c>
      <c r="D117" s="5">
        <f t="shared" si="52"/>
        <v>6</v>
      </c>
      <c r="E117" s="5"/>
      <c r="F117" s="7">
        <f t="shared" si="53"/>
        <v>1.9500000000000002</v>
      </c>
      <c r="G117" s="2">
        <v>0.5</v>
      </c>
      <c r="H117" s="2">
        <f t="shared" si="54"/>
        <v>20003.4</v>
      </c>
      <c r="I117" s="2">
        <v>0.8</v>
      </c>
      <c r="J117" s="2">
        <f t="shared" si="55"/>
        <v>32005.440000000002</v>
      </c>
      <c r="K117" s="2"/>
      <c r="L117" s="2">
        <f t="shared" si="56"/>
        <v>0</v>
      </c>
      <c r="M117" s="2"/>
      <c r="N117" s="2">
        <f t="shared" si="57"/>
        <v>0</v>
      </c>
      <c r="O117" s="2"/>
      <c r="P117" s="2">
        <f t="shared" si="58"/>
        <v>0</v>
      </c>
      <c r="Q117" s="2"/>
      <c r="R117" s="2">
        <f t="shared" si="59"/>
        <v>0</v>
      </c>
      <c r="S117" s="2">
        <v>0.4</v>
      </c>
      <c r="T117" s="21">
        <f t="shared" si="60"/>
        <v>16002.720000000001</v>
      </c>
      <c r="U117" s="2">
        <v>0.25</v>
      </c>
      <c r="V117" s="21">
        <f t="shared" si="61"/>
        <v>10001.7</v>
      </c>
      <c r="W117" s="6">
        <f t="shared" si="62"/>
        <v>57</v>
      </c>
      <c r="X117" s="3" t="s">
        <v>58</v>
      </c>
      <c r="Y117" s="80">
        <v>3333.9</v>
      </c>
      <c r="Z117" s="32">
        <f t="shared" si="63"/>
        <v>2.45</v>
      </c>
      <c r="AA117" s="2">
        <v>0.6</v>
      </c>
      <c r="AB117" s="21">
        <f t="shared" si="64"/>
        <v>24004.079999999998</v>
      </c>
      <c r="AC117" s="2">
        <v>0.76</v>
      </c>
      <c r="AD117" s="21">
        <f t="shared" si="65"/>
        <v>30405.168</v>
      </c>
      <c r="AE117" s="2">
        <v>0.8</v>
      </c>
      <c r="AF117" s="21">
        <f t="shared" si="26"/>
        <v>32005.440000000002</v>
      </c>
      <c r="AG117" s="2">
        <v>0.14</v>
      </c>
      <c r="AH117" s="21">
        <f t="shared" si="66"/>
        <v>5600.952</v>
      </c>
      <c r="AI117" s="2">
        <v>0.15</v>
      </c>
      <c r="AJ117" s="21">
        <f t="shared" si="67"/>
        <v>6001.0199999999995</v>
      </c>
      <c r="AK117" s="32">
        <f t="shared" si="68"/>
        <v>0.6</v>
      </c>
      <c r="AL117" s="6">
        <v>0.5</v>
      </c>
      <c r="AM117" s="21">
        <f t="shared" si="69"/>
        <v>20003.4</v>
      </c>
      <c r="AN117" s="6"/>
      <c r="AO117" s="21">
        <f t="shared" si="70"/>
        <v>0</v>
      </c>
      <c r="AP117" s="197"/>
      <c r="AQ117" s="21">
        <f t="shared" si="71"/>
        <v>0</v>
      </c>
      <c r="AR117" s="6">
        <v>0.1</v>
      </c>
      <c r="AS117" s="21">
        <f t="shared" si="72"/>
        <v>4000.6800000000003</v>
      </c>
      <c r="AT117" s="6"/>
      <c r="AU117" s="21">
        <f t="shared" si="73"/>
        <v>0</v>
      </c>
      <c r="AV117" s="16">
        <v>1</v>
      </c>
    </row>
    <row r="118" spans="1:48" ht="12.75">
      <c r="A118" s="6">
        <f t="shared" si="50"/>
        <v>58</v>
      </c>
      <c r="B118" s="3" t="s">
        <v>111</v>
      </c>
      <c r="C118" s="168">
        <v>2016</v>
      </c>
      <c r="D118" s="5">
        <f t="shared" si="52"/>
        <v>5.57</v>
      </c>
      <c r="E118" s="5"/>
      <c r="F118" s="7">
        <f t="shared" si="53"/>
        <v>2.97</v>
      </c>
      <c r="G118" s="2"/>
      <c r="H118" s="2">
        <f t="shared" si="54"/>
        <v>0</v>
      </c>
      <c r="I118" s="2">
        <v>1</v>
      </c>
      <c r="J118" s="2">
        <f t="shared" si="55"/>
        <v>24192</v>
      </c>
      <c r="K118" s="190">
        <v>0.75</v>
      </c>
      <c r="L118" s="2">
        <f t="shared" si="56"/>
        <v>18144</v>
      </c>
      <c r="M118" s="190">
        <v>1</v>
      </c>
      <c r="N118" s="2">
        <f t="shared" si="57"/>
        <v>24192</v>
      </c>
      <c r="O118" s="190"/>
      <c r="P118" s="2">
        <f t="shared" si="58"/>
        <v>0</v>
      </c>
      <c r="Q118" s="190"/>
      <c r="R118" s="2">
        <f t="shared" si="59"/>
        <v>0</v>
      </c>
      <c r="S118" s="2">
        <v>0.12</v>
      </c>
      <c r="T118" s="21">
        <f t="shared" si="60"/>
        <v>2903.04</v>
      </c>
      <c r="U118" s="2">
        <v>0.1</v>
      </c>
      <c r="V118" s="21">
        <f t="shared" si="61"/>
        <v>2419.2000000000003</v>
      </c>
      <c r="W118" s="6">
        <f t="shared" si="62"/>
        <v>58</v>
      </c>
      <c r="X118" s="3" t="s">
        <v>111</v>
      </c>
      <c r="Y118" s="168">
        <v>2016</v>
      </c>
      <c r="Z118" s="32">
        <f t="shared" si="63"/>
        <v>1.8</v>
      </c>
      <c r="AA118" s="2">
        <v>0.4</v>
      </c>
      <c r="AB118" s="21">
        <f t="shared" si="64"/>
        <v>9676.800000000001</v>
      </c>
      <c r="AC118" s="2">
        <v>0.3</v>
      </c>
      <c r="AD118" s="21">
        <f t="shared" si="65"/>
        <v>7257.599999999999</v>
      </c>
      <c r="AE118" s="2">
        <v>0.5</v>
      </c>
      <c r="AF118" s="21">
        <f t="shared" si="26"/>
        <v>12096</v>
      </c>
      <c r="AG118" s="2">
        <v>0.5</v>
      </c>
      <c r="AH118" s="21">
        <f t="shared" si="66"/>
        <v>12096</v>
      </c>
      <c r="AI118" s="2">
        <v>0.1</v>
      </c>
      <c r="AJ118" s="21">
        <f t="shared" si="67"/>
        <v>2419.2000000000003</v>
      </c>
      <c r="AK118" s="32">
        <f t="shared" si="68"/>
        <v>0.8</v>
      </c>
      <c r="AL118" s="190"/>
      <c r="AM118" s="21">
        <f t="shared" si="69"/>
        <v>0</v>
      </c>
      <c r="AN118" s="190"/>
      <c r="AO118" s="21">
        <f t="shared" si="70"/>
        <v>0</v>
      </c>
      <c r="AP118" s="190"/>
      <c r="AQ118" s="21">
        <f t="shared" si="71"/>
        <v>0</v>
      </c>
      <c r="AR118" s="190"/>
      <c r="AS118" s="21">
        <f t="shared" si="72"/>
        <v>0</v>
      </c>
      <c r="AT118" s="2">
        <v>0.8</v>
      </c>
      <c r="AU118" s="21">
        <f t="shared" si="73"/>
        <v>19353.600000000002</v>
      </c>
      <c r="AV118" s="16"/>
    </row>
    <row r="119" spans="1:48" ht="12.75">
      <c r="A119" s="6">
        <f t="shared" si="50"/>
        <v>59</v>
      </c>
      <c r="B119" s="3" t="s">
        <v>112</v>
      </c>
      <c r="C119" s="80">
        <v>2053.5</v>
      </c>
      <c r="D119" s="5">
        <f t="shared" si="52"/>
        <v>5.6000000000000005</v>
      </c>
      <c r="E119" s="5"/>
      <c r="F119" s="7">
        <f t="shared" si="53"/>
        <v>3.0000000000000004</v>
      </c>
      <c r="G119" s="2"/>
      <c r="H119" s="2">
        <f t="shared" si="54"/>
        <v>0</v>
      </c>
      <c r="I119" s="2">
        <v>2</v>
      </c>
      <c r="J119" s="2">
        <f t="shared" si="55"/>
        <v>49284</v>
      </c>
      <c r="K119" s="190">
        <v>0.6</v>
      </c>
      <c r="L119" s="2">
        <f t="shared" si="56"/>
        <v>14785.199999999999</v>
      </c>
      <c r="M119" s="190"/>
      <c r="N119" s="2">
        <f t="shared" si="57"/>
        <v>0</v>
      </c>
      <c r="O119" s="190"/>
      <c r="P119" s="2">
        <f t="shared" si="58"/>
        <v>0</v>
      </c>
      <c r="Q119" s="190"/>
      <c r="R119" s="2">
        <f t="shared" si="59"/>
        <v>0</v>
      </c>
      <c r="S119" s="2">
        <v>0.2</v>
      </c>
      <c r="T119" s="21">
        <f t="shared" si="60"/>
        <v>4928.400000000001</v>
      </c>
      <c r="U119" s="2">
        <v>0.2</v>
      </c>
      <c r="V119" s="21">
        <f t="shared" si="61"/>
        <v>4928.400000000001</v>
      </c>
      <c r="W119" s="6">
        <f t="shared" si="62"/>
        <v>59</v>
      </c>
      <c r="X119" s="3" t="s">
        <v>112</v>
      </c>
      <c r="Y119" s="80">
        <v>2053.5</v>
      </c>
      <c r="Z119" s="32">
        <f t="shared" si="63"/>
        <v>1.6</v>
      </c>
      <c r="AA119" s="2">
        <v>0.5</v>
      </c>
      <c r="AB119" s="21">
        <f t="shared" si="64"/>
        <v>12321</v>
      </c>
      <c r="AC119" s="2">
        <v>0.25</v>
      </c>
      <c r="AD119" s="21">
        <f t="shared" si="65"/>
        <v>6160.5</v>
      </c>
      <c r="AE119" s="2">
        <v>0.25</v>
      </c>
      <c r="AF119" s="21">
        <f t="shared" si="26"/>
        <v>6160.5</v>
      </c>
      <c r="AG119" s="2">
        <v>0.6</v>
      </c>
      <c r="AH119" s="21">
        <f t="shared" si="66"/>
        <v>14785.199999999999</v>
      </c>
      <c r="AI119" s="190"/>
      <c r="AJ119" s="21">
        <f t="shared" si="67"/>
        <v>0</v>
      </c>
      <c r="AK119" s="32">
        <f t="shared" si="68"/>
        <v>1</v>
      </c>
      <c r="AL119" s="190"/>
      <c r="AM119" s="21">
        <f t="shared" si="69"/>
        <v>0</v>
      </c>
      <c r="AN119" s="190"/>
      <c r="AO119" s="21">
        <f t="shared" si="70"/>
        <v>0</v>
      </c>
      <c r="AP119" s="190"/>
      <c r="AQ119" s="21">
        <f t="shared" si="71"/>
        <v>0</v>
      </c>
      <c r="AR119" s="190"/>
      <c r="AS119" s="21">
        <f t="shared" si="72"/>
        <v>0</v>
      </c>
      <c r="AT119" s="2">
        <v>1</v>
      </c>
      <c r="AU119" s="21">
        <f t="shared" si="73"/>
        <v>24642</v>
      </c>
      <c r="AV119" s="16"/>
    </row>
    <row r="120" spans="1:48" ht="12.75">
      <c r="A120" s="6">
        <f t="shared" si="50"/>
        <v>60</v>
      </c>
      <c r="B120" s="3" t="s">
        <v>113</v>
      </c>
      <c r="C120" s="80">
        <v>1959</v>
      </c>
      <c r="D120" s="5">
        <f t="shared" si="52"/>
        <v>5.59</v>
      </c>
      <c r="E120" s="5"/>
      <c r="F120" s="7">
        <f t="shared" si="53"/>
        <v>2.59</v>
      </c>
      <c r="G120" s="2"/>
      <c r="H120" s="2">
        <f t="shared" si="54"/>
        <v>0</v>
      </c>
      <c r="I120" s="2">
        <v>1.59</v>
      </c>
      <c r="J120" s="2">
        <f t="shared" si="55"/>
        <v>37377.72</v>
      </c>
      <c r="K120" s="190"/>
      <c r="L120" s="2">
        <f t="shared" si="56"/>
        <v>0</v>
      </c>
      <c r="M120" s="2">
        <v>1</v>
      </c>
      <c r="N120" s="2">
        <f t="shared" si="57"/>
        <v>23508</v>
      </c>
      <c r="O120" s="190"/>
      <c r="P120" s="2">
        <f t="shared" si="58"/>
        <v>0</v>
      </c>
      <c r="Q120" s="190"/>
      <c r="R120" s="2">
        <f t="shared" si="59"/>
        <v>0</v>
      </c>
      <c r="S120" s="2"/>
      <c r="T120" s="21">
        <f t="shared" si="60"/>
        <v>0</v>
      </c>
      <c r="U120" s="190"/>
      <c r="V120" s="21">
        <f t="shared" si="61"/>
        <v>0</v>
      </c>
      <c r="W120" s="6">
        <f t="shared" si="62"/>
        <v>60</v>
      </c>
      <c r="X120" s="3" t="s">
        <v>113</v>
      </c>
      <c r="Y120" s="80">
        <v>1959</v>
      </c>
      <c r="Z120" s="32">
        <f t="shared" si="63"/>
        <v>0</v>
      </c>
      <c r="AA120" s="2"/>
      <c r="AB120" s="21">
        <f t="shared" si="64"/>
        <v>0</v>
      </c>
      <c r="AC120" s="2"/>
      <c r="AD120" s="21">
        <f t="shared" si="65"/>
        <v>0</v>
      </c>
      <c r="AE120" s="190"/>
      <c r="AF120" s="21">
        <f t="shared" si="26"/>
        <v>0</v>
      </c>
      <c r="AG120" s="190"/>
      <c r="AH120" s="21">
        <f t="shared" si="66"/>
        <v>0</v>
      </c>
      <c r="AI120" s="190"/>
      <c r="AJ120" s="21">
        <f t="shared" si="67"/>
        <v>0</v>
      </c>
      <c r="AK120" s="32">
        <f t="shared" si="68"/>
        <v>3</v>
      </c>
      <c r="AL120" s="190"/>
      <c r="AM120" s="21">
        <f t="shared" si="69"/>
        <v>0</v>
      </c>
      <c r="AN120" s="2">
        <v>2</v>
      </c>
      <c r="AO120" s="21">
        <f t="shared" si="70"/>
        <v>47016</v>
      </c>
      <c r="AP120" s="190"/>
      <c r="AQ120" s="21">
        <f t="shared" si="71"/>
        <v>0</v>
      </c>
      <c r="AR120" s="190"/>
      <c r="AS120" s="21">
        <f t="shared" si="72"/>
        <v>0</v>
      </c>
      <c r="AT120" s="2">
        <v>1</v>
      </c>
      <c r="AU120" s="21">
        <f t="shared" si="73"/>
        <v>23508</v>
      </c>
      <c r="AV120" s="16"/>
    </row>
    <row r="121" spans="1:48" ht="12.75">
      <c r="A121" s="6">
        <f t="shared" si="50"/>
        <v>61</v>
      </c>
      <c r="B121" s="3" t="s">
        <v>205</v>
      </c>
      <c r="C121" s="80">
        <v>1303.5</v>
      </c>
      <c r="D121" s="5">
        <f t="shared" si="52"/>
        <v>4.57</v>
      </c>
      <c r="E121" s="5"/>
      <c r="F121" s="7">
        <f t="shared" si="53"/>
        <v>3.1700000000000004</v>
      </c>
      <c r="G121" s="2">
        <v>2.02</v>
      </c>
      <c r="H121" s="2">
        <f t="shared" si="54"/>
        <v>31596.840000000004</v>
      </c>
      <c r="I121" s="2"/>
      <c r="J121" s="2">
        <f t="shared" si="55"/>
        <v>0</v>
      </c>
      <c r="K121" s="2"/>
      <c r="L121" s="2">
        <f t="shared" si="56"/>
        <v>0</v>
      </c>
      <c r="M121" s="2">
        <v>0.75</v>
      </c>
      <c r="N121" s="2">
        <f t="shared" si="57"/>
        <v>11731.5</v>
      </c>
      <c r="O121" s="2"/>
      <c r="P121" s="2">
        <f t="shared" si="58"/>
        <v>0</v>
      </c>
      <c r="Q121" s="2"/>
      <c r="R121" s="2">
        <f t="shared" si="59"/>
        <v>0</v>
      </c>
      <c r="S121" s="21">
        <v>0.2</v>
      </c>
      <c r="T121" s="21">
        <f t="shared" si="60"/>
        <v>3128.3999999999996</v>
      </c>
      <c r="U121" s="2">
        <v>0.2</v>
      </c>
      <c r="V121" s="21">
        <f t="shared" si="61"/>
        <v>3128.3999999999996</v>
      </c>
      <c r="W121" s="6">
        <f t="shared" si="62"/>
        <v>61</v>
      </c>
      <c r="X121" s="3" t="s">
        <v>205</v>
      </c>
      <c r="Y121" s="80">
        <v>1303.5</v>
      </c>
      <c r="Z121" s="32">
        <f t="shared" si="63"/>
        <v>1.4</v>
      </c>
      <c r="AA121" s="2">
        <v>0.6</v>
      </c>
      <c r="AB121" s="21">
        <f t="shared" si="64"/>
        <v>9385.2</v>
      </c>
      <c r="AC121" s="2"/>
      <c r="AD121" s="21">
        <f t="shared" si="65"/>
        <v>0</v>
      </c>
      <c r="AE121" s="2"/>
      <c r="AF121" s="21">
        <f t="shared" si="26"/>
        <v>0</v>
      </c>
      <c r="AG121" s="2">
        <v>0.6</v>
      </c>
      <c r="AH121" s="21">
        <f t="shared" si="66"/>
        <v>9385.2</v>
      </c>
      <c r="AI121" s="2">
        <v>0.2</v>
      </c>
      <c r="AJ121" s="21">
        <f t="shared" si="67"/>
        <v>3128.3999999999996</v>
      </c>
      <c r="AK121" s="32">
        <f t="shared" si="68"/>
        <v>0</v>
      </c>
      <c r="AL121" s="1"/>
      <c r="AM121" s="21">
        <f t="shared" si="69"/>
        <v>0</v>
      </c>
      <c r="AN121" s="1"/>
      <c r="AO121" s="21">
        <f t="shared" si="70"/>
        <v>0</v>
      </c>
      <c r="AP121" s="197"/>
      <c r="AQ121" s="21">
        <f t="shared" si="71"/>
        <v>0</v>
      </c>
      <c r="AR121" s="1"/>
      <c r="AS121" s="21">
        <f t="shared" si="72"/>
        <v>0</v>
      </c>
      <c r="AT121" s="1"/>
      <c r="AU121" s="21">
        <f t="shared" si="73"/>
        <v>0</v>
      </c>
      <c r="AV121" s="16"/>
    </row>
    <row r="122" spans="1:48" ht="12.75">
      <c r="A122" s="6">
        <f t="shared" si="50"/>
        <v>62</v>
      </c>
      <c r="B122" s="3" t="s">
        <v>206</v>
      </c>
      <c r="C122" s="168">
        <v>960</v>
      </c>
      <c r="D122" s="5">
        <f t="shared" si="52"/>
        <v>5.4399999999999995</v>
      </c>
      <c r="E122" s="5"/>
      <c r="F122" s="7">
        <f t="shared" si="53"/>
        <v>3.84</v>
      </c>
      <c r="G122" s="2">
        <v>2.3</v>
      </c>
      <c r="H122" s="2">
        <f t="shared" si="54"/>
        <v>26496</v>
      </c>
      <c r="I122" s="2">
        <v>1.14</v>
      </c>
      <c r="J122" s="2">
        <f t="shared" si="55"/>
        <v>13132.8</v>
      </c>
      <c r="K122" s="2"/>
      <c r="L122" s="2">
        <f t="shared" si="56"/>
        <v>0</v>
      </c>
      <c r="M122" s="2"/>
      <c r="N122" s="2">
        <f t="shared" si="57"/>
        <v>0</v>
      </c>
      <c r="O122" s="2"/>
      <c r="P122" s="2">
        <f t="shared" si="58"/>
        <v>0</v>
      </c>
      <c r="Q122" s="2"/>
      <c r="R122" s="2">
        <f t="shared" si="59"/>
        <v>0</v>
      </c>
      <c r="S122" s="21">
        <v>0.2</v>
      </c>
      <c r="T122" s="21">
        <f t="shared" si="60"/>
        <v>2304</v>
      </c>
      <c r="U122" s="2">
        <v>0.2</v>
      </c>
      <c r="V122" s="21">
        <f t="shared" si="61"/>
        <v>2304</v>
      </c>
      <c r="W122" s="6">
        <f t="shared" si="62"/>
        <v>62</v>
      </c>
      <c r="X122" s="3" t="s">
        <v>206</v>
      </c>
      <c r="Y122" s="168">
        <v>960</v>
      </c>
      <c r="Z122" s="32">
        <f t="shared" si="63"/>
        <v>1.0999999999999999</v>
      </c>
      <c r="AA122" s="2">
        <v>0.6</v>
      </c>
      <c r="AB122" s="21">
        <f t="shared" si="64"/>
        <v>6912</v>
      </c>
      <c r="AC122" s="2"/>
      <c r="AD122" s="21">
        <f t="shared" si="65"/>
        <v>0</v>
      </c>
      <c r="AE122" s="2"/>
      <c r="AF122" s="21">
        <f t="shared" si="26"/>
        <v>0</v>
      </c>
      <c r="AG122" s="2">
        <v>0.3</v>
      </c>
      <c r="AH122" s="21">
        <f t="shared" si="66"/>
        <v>3456</v>
      </c>
      <c r="AI122" s="2">
        <v>0.2</v>
      </c>
      <c r="AJ122" s="21">
        <f t="shared" si="67"/>
        <v>2304</v>
      </c>
      <c r="AK122" s="32">
        <f t="shared" si="68"/>
        <v>0.5</v>
      </c>
      <c r="AL122" s="1"/>
      <c r="AM122" s="21">
        <f t="shared" si="69"/>
        <v>0</v>
      </c>
      <c r="AN122" s="1"/>
      <c r="AO122" s="21">
        <f t="shared" si="70"/>
        <v>0</v>
      </c>
      <c r="AP122" s="197"/>
      <c r="AQ122" s="21">
        <f t="shared" si="71"/>
        <v>0</v>
      </c>
      <c r="AR122" s="1"/>
      <c r="AS122" s="21">
        <f t="shared" si="72"/>
        <v>0</v>
      </c>
      <c r="AT122" s="1">
        <v>0.5</v>
      </c>
      <c r="AU122" s="21">
        <f t="shared" si="73"/>
        <v>5760</v>
      </c>
      <c r="AV122" s="16"/>
    </row>
    <row r="123" spans="1:48" ht="12.75">
      <c r="A123" s="6">
        <f t="shared" si="50"/>
        <v>63</v>
      </c>
      <c r="B123" s="3" t="s">
        <v>209</v>
      </c>
      <c r="C123" s="80">
        <v>1980.6</v>
      </c>
      <c r="D123" s="5">
        <f t="shared" si="52"/>
        <v>5.24</v>
      </c>
      <c r="E123" s="5"/>
      <c r="F123" s="7">
        <f aca="true" t="shared" si="74" ref="F123:F144">G123+I123+K123+M123+O123+Q123+S123+U123</f>
        <v>2.4000000000000004</v>
      </c>
      <c r="G123" s="2"/>
      <c r="H123" s="2">
        <f t="shared" si="54"/>
        <v>0</v>
      </c>
      <c r="I123" s="2"/>
      <c r="J123" s="2">
        <f t="shared" si="55"/>
        <v>0</v>
      </c>
      <c r="K123" s="2"/>
      <c r="L123" s="2">
        <f t="shared" si="56"/>
        <v>0</v>
      </c>
      <c r="M123" s="2">
        <v>2</v>
      </c>
      <c r="N123" s="2">
        <f t="shared" si="57"/>
        <v>47534.399999999994</v>
      </c>
      <c r="O123" s="2"/>
      <c r="P123" s="2">
        <f t="shared" si="58"/>
        <v>0</v>
      </c>
      <c r="Q123" s="2"/>
      <c r="R123" s="2">
        <f t="shared" si="59"/>
        <v>0</v>
      </c>
      <c r="S123" s="21">
        <v>0.2</v>
      </c>
      <c r="T123" s="21">
        <f t="shared" si="60"/>
        <v>4753.4400000000005</v>
      </c>
      <c r="U123" s="2">
        <v>0.2</v>
      </c>
      <c r="V123" s="21">
        <f t="shared" si="61"/>
        <v>4753.4400000000005</v>
      </c>
      <c r="W123" s="6">
        <f t="shared" si="62"/>
        <v>63</v>
      </c>
      <c r="X123" s="3" t="s">
        <v>209</v>
      </c>
      <c r="Y123" s="80">
        <v>1980.6</v>
      </c>
      <c r="Z123" s="32">
        <f t="shared" si="63"/>
        <v>0</v>
      </c>
      <c r="AA123" s="2"/>
      <c r="AB123" s="21">
        <f t="shared" si="64"/>
        <v>0</v>
      </c>
      <c r="AC123" s="2"/>
      <c r="AD123" s="21">
        <f t="shared" si="65"/>
        <v>0</v>
      </c>
      <c r="AE123" s="2"/>
      <c r="AF123" s="21">
        <f aca="true" t="shared" si="75" ref="AF123:AF143">AE123*C123*12</f>
        <v>0</v>
      </c>
      <c r="AG123" s="2"/>
      <c r="AH123" s="21">
        <f t="shared" si="66"/>
        <v>0</v>
      </c>
      <c r="AI123" s="2"/>
      <c r="AJ123" s="21">
        <f aca="true" t="shared" si="76" ref="AJ123:AJ186">AI123*C123*12</f>
        <v>0</v>
      </c>
      <c r="AK123" s="32">
        <f t="shared" si="68"/>
        <v>2.84</v>
      </c>
      <c r="AL123" s="1"/>
      <c r="AM123" s="21">
        <f t="shared" si="69"/>
        <v>0</v>
      </c>
      <c r="AN123" s="1">
        <v>2.84</v>
      </c>
      <c r="AO123" s="21">
        <f t="shared" si="70"/>
        <v>67498.848</v>
      </c>
      <c r="AP123" s="197"/>
      <c r="AQ123" s="21">
        <f t="shared" si="71"/>
        <v>0</v>
      </c>
      <c r="AR123" s="1"/>
      <c r="AS123" s="21">
        <f t="shared" si="72"/>
        <v>0</v>
      </c>
      <c r="AT123" s="1"/>
      <c r="AU123" s="21">
        <f t="shared" si="73"/>
        <v>0</v>
      </c>
      <c r="AV123" s="16"/>
    </row>
    <row r="124" spans="1:48" ht="12.75">
      <c r="A124" s="6">
        <f t="shared" si="50"/>
        <v>64</v>
      </c>
      <c r="B124" s="3" t="s">
        <v>59</v>
      </c>
      <c r="C124" s="80">
        <v>1998.9</v>
      </c>
      <c r="D124" s="5">
        <f t="shared" si="52"/>
        <v>5.73</v>
      </c>
      <c r="E124" s="5"/>
      <c r="F124" s="7">
        <f t="shared" si="74"/>
        <v>2.62</v>
      </c>
      <c r="G124" s="2">
        <v>0.1</v>
      </c>
      <c r="H124" s="2">
        <f t="shared" si="54"/>
        <v>2398.6800000000003</v>
      </c>
      <c r="I124" s="2"/>
      <c r="J124" s="2">
        <f t="shared" si="55"/>
        <v>0</v>
      </c>
      <c r="K124" s="2"/>
      <c r="L124" s="2">
        <f t="shared" si="56"/>
        <v>0</v>
      </c>
      <c r="M124" s="2">
        <v>1.81</v>
      </c>
      <c r="N124" s="2">
        <f t="shared" si="57"/>
        <v>43416.10800000001</v>
      </c>
      <c r="O124" s="2"/>
      <c r="P124" s="2">
        <f t="shared" si="58"/>
        <v>0</v>
      </c>
      <c r="Q124" s="2"/>
      <c r="R124" s="2">
        <f t="shared" si="59"/>
        <v>0</v>
      </c>
      <c r="S124" s="2">
        <v>0.5</v>
      </c>
      <c r="T124" s="21">
        <f t="shared" si="60"/>
        <v>11993.400000000001</v>
      </c>
      <c r="U124" s="2">
        <v>0.21</v>
      </c>
      <c r="V124" s="21">
        <f t="shared" si="61"/>
        <v>5037.228</v>
      </c>
      <c r="W124" s="6">
        <f t="shared" si="62"/>
        <v>64</v>
      </c>
      <c r="X124" s="3" t="s">
        <v>59</v>
      </c>
      <c r="Y124" s="80">
        <v>1998.9</v>
      </c>
      <c r="Z124" s="32">
        <f t="shared" si="63"/>
        <v>2.11</v>
      </c>
      <c r="AA124" s="2">
        <v>0.5</v>
      </c>
      <c r="AB124" s="21">
        <f t="shared" si="64"/>
        <v>11993.400000000001</v>
      </c>
      <c r="AC124" s="2">
        <v>0.3</v>
      </c>
      <c r="AD124" s="21">
        <f t="shared" si="65"/>
        <v>7196.039999999999</v>
      </c>
      <c r="AE124" s="2">
        <v>0.5</v>
      </c>
      <c r="AF124" s="21">
        <f t="shared" si="75"/>
        <v>11993.400000000001</v>
      </c>
      <c r="AG124" s="2">
        <v>0.6</v>
      </c>
      <c r="AH124" s="21">
        <f t="shared" si="66"/>
        <v>14392.079999999998</v>
      </c>
      <c r="AI124" s="2">
        <v>0.21</v>
      </c>
      <c r="AJ124" s="21">
        <f t="shared" si="76"/>
        <v>5037.228</v>
      </c>
      <c r="AK124" s="32">
        <f t="shared" si="68"/>
        <v>0.2</v>
      </c>
      <c r="AL124" s="6"/>
      <c r="AM124" s="21">
        <f t="shared" si="69"/>
        <v>0</v>
      </c>
      <c r="AN124" s="6"/>
      <c r="AO124" s="21">
        <f t="shared" si="70"/>
        <v>0</v>
      </c>
      <c r="AP124" s="197"/>
      <c r="AQ124" s="21">
        <f t="shared" si="71"/>
        <v>0</v>
      </c>
      <c r="AR124" s="6">
        <v>0.2</v>
      </c>
      <c r="AS124" s="21">
        <f t="shared" si="72"/>
        <v>4797.360000000001</v>
      </c>
      <c r="AT124" s="6"/>
      <c r="AU124" s="21">
        <f t="shared" si="73"/>
        <v>0</v>
      </c>
      <c r="AV124" s="16">
        <v>0.8</v>
      </c>
    </row>
    <row r="125" spans="1:48" ht="12.75">
      <c r="A125" s="6">
        <f t="shared" si="50"/>
        <v>65</v>
      </c>
      <c r="B125" s="3" t="s">
        <v>60</v>
      </c>
      <c r="C125" s="80">
        <v>2168.1</v>
      </c>
      <c r="D125" s="5">
        <f t="shared" si="52"/>
        <v>6.3</v>
      </c>
      <c r="E125" s="5"/>
      <c r="F125" s="7">
        <f t="shared" si="74"/>
        <v>2.6700000000000004</v>
      </c>
      <c r="G125" s="2">
        <v>0.15</v>
      </c>
      <c r="H125" s="2">
        <f t="shared" si="54"/>
        <v>3902.58</v>
      </c>
      <c r="I125" s="2">
        <v>1.1</v>
      </c>
      <c r="J125" s="2">
        <f t="shared" si="55"/>
        <v>28618.920000000006</v>
      </c>
      <c r="K125" s="2"/>
      <c r="L125" s="2">
        <f t="shared" si="56"/>
        <v>0</v>
      </c>
      <c r="M125" s="2"/>
      <c r="N125" s="2">
        <f t="shared" si="57"/>
        <v>0</v>
      </c>
      <c r="O125" s="2"/>
      <c r="P125" s="2">
        <f t="shared" si="58"/>
        <v>0</v>
      </c>
      <c r="Q125" s="2"/>
      <c r="R125" s="2">
        <f t="shared" si="59"/>
        <v>0</v>
      </c>
      <c r="S125" s="2">
        <v>1.2</v>
      </c>
      <c r="T125" s="21">
        <f t="shared" si="60"/>
        <v>31220.64</v>
      </c>
      <c r="U125" s="2">
        <v>0.22</v>
      </c>
      <c r="V125" s="21">
        <f t="shared" si="61"/>
        <v>5723.784</v>
      </c>
      <c r="W125" s="6">
        <f t="shared" si="62"/>
        <v>65</v>
      </c>
      <c r="X125" s="3" t="s">
        <v>60</v>
      </c>
      <c r="Y125" s="80">
        <v>2168.1</v>
      </c>
      <c r="Z125" s="32">
        <f t="shared" si="63"/>
        <v>1.82</v>
      </c>
      <c r="AA125" s="2">
        <v>0.3</v>
      </c>
      <c r="AB125" s="21">
        <f t="shared" si="64"/>
        <v>7805.16</v>
      </c>
      <c r="AC125" s="2">
        <v>0.5</v>
      </c>
      <c r="AD125" s="21">
        <f t="shared" si="65"/>
        <v>13008.599999999999</v>
      </c>
      <c r="AE125" s="2">
        <v>0.5</v>
      </c>
      <c r="AF125" s="21">
        <f t="shared" si="75"/>
        <v>13008.599999999999</v>
      </c>
      <c r="AG125" s="2">
        <v>0.3</v>
      </c>
      <c r="AH125" s="21">
        <f t="shared" si="66"/>
        <v>7805.16</v>
      </c>
      <c r="AI125" s="2">
        <v>0.22</v>
      </c>
      <c r="AJ125" s="21">
        <f t="shared" si="76"/>
        <v>5723.784</v>
      </c>
      <c r="AK125" s="32">
        <f t="shared" si="68"/>
        <v>1.3</v>
      </c>
      <c r="AL125" s="6"/>
      <c r="AM125" s="21">
        <f t="shared" si="69"/>
        <v>0</v>
      </c>
      <c r="AN125" s="6"/>
      <c r="AO125" s="21">
        <f t="shared" si="70"/>
        <v>0</v>
      </c>
      <c r="AP125" s="197"/>
      <c r="AQ125" s="21">
        <f t="shared" si="71"/>
        <v>0</v>
      </c>
      <c r="AR125" s="6">
        <v>0.5</v>
      </c>
      <c r="AS125" s="21">
        <f t="shared" si="72"/>
        <v>13008.599999999999</v>
      </c>
      <c r="AT125" s="6">
        <v>0.8</v>
      </c>
      <c r="AU125" s="21">
        <f t="shared" si="73"/>
        <v>20813.760000000002</v>
      </c>
      <c r="AV125" s="16">
        <v>0.51</v>
      </c>
    </row>
    <row r="126" spans="1:48" ht="12.75">
      <c r="A126" s="6">
        <f t="shared" si="50"/>
        <v>66</v>
      </c>
      <c r="B126" s="3" t="s">
        <v>61</v>
      </c>
      <c r="C126" s="80">
        <v>2026.6</v>
      </c>
      <c r="D126" s="5">
        <f t="shared" si="52"/>
        <v>5.739999999999999</v>
      </c>
      <c r="E126" s="5"/>
      <c r="F126" s="7">
        <f t="shared" si="74"/>
        <v>1.5499999999999998</v>
      </c>
      <c r="G126" s="2">
        <v>0.15</v>
      </c>
      <c r="H126" s="2">
        <f t="shared" si="54"/>
        <v>3647.879999999999</v>
      </c>
      <c r="I126" s="2"/>
      <c r="J126" s="2">
        <f t="shared" si="55"/>
        <v>0</v>
      </c>
      <c r="K126" s="2"/>
      <c r="L126" s="2">
        <f t="shared" si="56"/>
        <v>0</v>
      </c>
      <c r="M126" s="2"/>
      <c r="N126" s="2">
        <f t="shared" si="57"/>
        <v>0</v>
      </c>
      <c r="O126" s="2"/>
      <c r="P126" s="2">
        <f t="shared" si="58"/>
        <v>0</v>
      </c>
      <c r="Q126" s="2"/>
      <c r="R126" s="2">
        <f t="shared" si="59"/>
        <v>0</v>
      </c>
      <c r="S126" s="2">
        <v>1.2</v>
      </c>
      <c r="T126" s="21">
        <f t="shared" si="60"/>
        <v>29183.039999999994</v>
      </c>
      <c r="U126" s="2">
        <v>0.2</v>
      </c>
      <c r="V126" s="21">
        <f t="shared" si="61"/>
        <v>4863.84</v>
      </c>
      <c r="W126" s="6">
        <f t="shared" si="62"/>
        <v>66</v>
      </c>
      <c r="X126" s="3" t="s">
        <v>61</v>
      </c>
      <c r="Y126" s="80">
        <v>2026.6</v>
      </c>
      <c r="Z126" s="32">
        <f t="shared" si="63"/>
        <v>2.8899999999999997</v>
      </c>
      <c r="AA126" s="2">
        <v>0.8</v>
      </c>
      <c r="AB126" s="21">
        <f t="shared" si="64"/>
        <v>19455.36</v>
      </c>
      <c r="AC126" s="2">
        <v>0.6</v>
      </c>
      <c r="AD126" s="21">
        <f t="shared" si="65"/>
        <v>14591.519999999997</v>
      </c>
      <c r="AE126" s="2">
        <v>0.59</v>
      </c>
      <c r="AF126" s="21">
        <f t="shared" si="75"/>
        <v>14348.328</v>
      </c>
      <c r="AG126" s="2">
        <v>0.7</v>
      </c>
      <c r="AH126" s="21">
        <f t="shared" si="66"/>
        <v>17023.44</v>
      </c>
      <c r="AI126" s="2">
        <v>0.2</v>
      </c>
      <c r="AJ126" s="21">
        <f t="shared" si="76"/>
        <v>4863.84</v>
      </c>
      <c r="AK126" s="32">
        <f t="shared" si="68"/>
        <v>1.3</v>
      </c>
      <c r="AL126" s="6"/>
      <c r="AM126" s="21">
        <f t="shared" si="69"/>
        <v>0</v>
      </c>
      <c r="AN126" s="6"/>
      <c r="AO126" s="21">
        <f t="shared" si="70"/>
        <v>0</v>
      </c>
      <c r="AP126" s="197"/>
      <c r="AQ126" s="21">
        <f t="shared" si="71"/>
        <v>0</v>
      </c>
      <c r="AR126" s="6">
        <v>0.5</v>
      </c>
      <c r="AS126" s="21">
        <f t="shared" si="72"/>
        <v>12159.599999999999</v>
      </c>
      <c r="AT126" s="6">
        <v>0.8</v>
      </c>
      <c r="AU126" s="21">
        <f t="shared" si="73"/>
        <v>19455.36</v>
      </c>
      <c r="AV126" s="16"/>
    </row>
    <row r="127" spans="1:48" ht="12.75">
      <c r="A127" s="6">
        <f t="shared" si="50"/>
        <v>67</v>
      </c>
      <c r="B127" s="3" t="s">
        <v>62</v>
      </c>
      <c r="C127" s="80">
        <v>6590.55</v>
      </c>
      <c r="D127" s="5">
        <f t="shared" si="52"/>
        <v>5.8500000000000005</v>
      </c>
      <c r="E127" s="5"/>
      <c r="F127" s="7">
        <f t="shared" si="74"/>
        <v>1.4000000000000001</v>
      </c>
      <c r="G127" s="2">
        <v>0.6</v>
      </c>
      <c r="H127" s="2">
        <f t="shared" si="54"/>
        <v>47451.96</v>
      </c>
      <c r="I127" s="2"/>
      <c r="J127" s="2">
        <f t="shared" si="55"/>
        <v>0</v>
      </c>
      <c r="K127" s="2"/>
      <c r="L127" s="2">
        <f t="shared" si="56"/>
        <v>0</v>
      </c>
      <c r="M127" s="2"/>
      <c r="N127" s="2">
        <f t="shared" si="57"/>
        <v>0</v>
      </c>
      <c r="O127" s="2"/>
      <c r="P127" s="2">
        <f t="shared" si="58"/>
        <v>0</v>
      </c>
      <c r="Q127" s="2"/>
      <c r="R127" s="2">
        <f t="shared" si="59"/>
        <v>0</v>
      </c>
      <c r="S127" s="2">
        <v>0.5</v>
      </c>
      <c r="T127" s="21">
        <f t="shared" si="60"/>
        <v>39543.3</v>
      </c>
      <c r="U127" s="2">
        <v>0.3</v>
      </c>
      <c r="V127" s="21">
        <f t="shared" si="61"/>
        <v>23725.98</v>
      </c>
      <c r="W127" s="6">
        <f t="shared" si="62"/>
        <v>67</v>
      </c>
      <c r="X127" s="3" t="s">
        <v>62</v>
      </c>
      <c r="Y127" s="80">
        <v>6590.55</v>
      </c>
      <c r="Z127" s="32">
        <f t="shared" si="63"/>
        <v>2.95</v>
      </c>
      <c r="AA127" s="2">
        <v>1</v>
      </c>
      <c r="AB127" s="21">
        <f t="shared" si="64"/>
        <v>79086.6</v>
      </c>
      <c r="AC127" s="2">
        <v>0.6</v>
      </c>
      <c r="AD127" s="21">
        <f t="shared" si="65"/>
        <v>47451.96</v>
      </c>
      <c r="AE127" s="2">
        <v>0.6</v>
      </c>
      <c r="AF127" s="21">
        <f t="shared" si="75"/>
        <v>47451.96</v>
      </c>
      <c r="AG127" s="2">
        <v>0.5</v>
      </c>
      <c r="AH127" s="21">
        <f t="shared" si="66"/>
        <v>39543.3</v>
      </c>
      <c r="AI127" s="2">
        <v>0.25</v>
      </c>
      <c r="AJ127" s="21">
        <f t="shared" si="76"/>
        <v>19771.65</v>
      </c>
      <c r="AK127" s="32">
        <f t="shared" si="68"/>
        <v>1</v>
      </c>
      <c r="AL127" s="6">
        <v>0.5</v>
      </c>
      <c r="AM127" s="21">
        <f t="shared" si="69"/>
        <v>39543.3</v>
      </c>
      <c r="AN127" s="6"/>
      <c r="AO127" s="21">
        <f t="shared" si="70"/>
        <v>0</v>
      </c>
      <c r="AP127" s="197"/>
      <c r="AQ127" s="21">
        <f t="shared" si="71"/>
        <v>0</v>
      </c>
      <c r="AR127" s="6">
        <v>0.5</v>
      </c>
      <c r="AS127" s="21">
        <f t="shared" si="72"/>
        <v>39543.3</v>
      </c>
      <c r="AT127" s="6"/>
      <c r="AU127" s="21">
        <f t="shared" si="73"/>
        <v>0</v>
      </c>
      <c r="AV127" s="16">
        <v>0.5</v>
      </c>
    </row>
    <row r="128" spans="1:48" ht="12.75">
      <c r="A128" s="6">
        <f t="shared" si="50"/>
        <v>68</v>
      </c>
      <c r="B128" s="3" t="s">
        <v>63</v>
      </c>
      <c r="C128" s="80">
        <v>4542.65</v>
      </c>
      <c r="D128" s="5">
        <f t="shared" si="52"/>
        <v>5.52</v>
      </c>
      <c r="E128" s="5"/>
      <c r="F128" s="7">
        <f t="shared" si="74"/>
        <v>1.94</v>
      </c>
      <c r="G128" s="2">
        <v>0.94</v>
      </c>
      <c r="H128" s="2">
        <f t="shared" si="54"/>
        <v>51241.09199999999</v>
      </c>
      <c r="I128" s="2"/>
      <c r="J128" s="2">
        <f t="shared" si="55"/>
        <v>0</v>
      </c>
      <c r="K128" s="2"/>
      <c r="L128" s="2">
        <f t="shared" si="56"/>
        <v>0</v>
      </c>
      <c r="M128" s="2"/>
      <c r="N128" s="2">
        <f t="shared" si="57"/>
        <v>0</v>
      </c>
      <c r="O128" s="2">
        <v>0.2</v>
      </c>
      <c r="P128" s="2">
        <f t="shared" si="58"/>
        <v>10902.36</v>
      </c>
      <c r="Q128" s="2"/>
      <c r="R128" s="2">
        <f t="shared" si="59"/>
        <v>0</v>
      </c>
      <c r="S128" s="2">
        <v>0.5</v>
      </c>
      <c r="T128" s="21">
        <f t="shared" si="60"/>
        <v>27255.899999999998</v>
      </c>
      <c r="U128" s="2">
        <v>0.3</v>
      </c>
      <c r="V128" s="21">
        <f t="shared" si="61"/>
        <v>16353.539999999997</v>
      </c>
      <c r="W128" s="6">
        <f t="shared" si="62"/>
        <v>68</v>
      </c>
      <c r="X128" s="3" t="s">
        <v>63</v>
      </c>
      <c r="Y128" s="80">
        <v>4542.65</v>
      </c>
      <c r="Z128" s="32">
        <f t="shared" si="63"/>
        <v>2.48</v>
      </c>
      <c r="AA128" s="2">
        <v>0.78</v>
      </c>
      <c r="AB128" s="21">
        <f t="shared" si="64"/>
        <v>42519.204</v>
      </c>
      <c r="AC128" s="2">
        <v>0.4</v>
      </c>
      <c r="AD128" s="21">
        <f t="shared" si="65"/>
        <v>21804.72</v>
      </c>
      <c r="AE128" s="2">
        <v>0.4</v>
      </c>
      <c r="AF128" s="21">
        <f t="shared" si="75"/>
        <v>21804.72</v>
      </c>
      <c r="AG128" s="2">
        <v>0.6</v>
      </c>
      <c r="AH128" s="21">
        <f t="shared" si="66"/>
        <v>32707.079999999994</v>
      </c>
      <c r="AI128" s="2">
        <v>0.3</v>
      </c>
      <c r="AJ128" s="21">
        <f t="shared" si="76"/>
        <v>16353.539999999997</v>
      </c>
      <c r="AK128" s="32">
        <f t="shared" si="68"/>
        <v>0.6000000000000001</v>
      </c>
      <c r="AL128" s="6">
        <v>0.2</v>
      </c>
      <c r="AM128" s="21">
        <f t="shared" si="69"/>
        <v>10902.36</v>
      </c>
      <c r="AN128" s="6"/>
      <c r="AO128" s="21">
        <f t="shared" si="70"/>
        <v>0</v>
      </c>
      <c r="AP128" s="197"/>
      <c r="AQ128" s="21">
        <f t="shared" si="71"/>
        <v>0</v>
      </c>
      <c r="AR128" s="6">
        <v>0.4</v>
      </c>
      <c r="AS128" s="21">
        <f t="shared" si="72"/>
        <v>21804.72</v>
      </c>
      <c r="AT128" s="6"/>
      <c r="AU128" s="21">
        <f t="shared" si="73"/>
        <v>0</v>
      </c>
      <c r="AV128" s="16">
        <v>0.5</v>
      </c>
    </row>
    <row r="129" spans="1:48" ht="12.75">
      <c r="A129" s="6">
        <f t="shared" si="50"/>
        <v>69</v>
      </c>
      <c r="B129" s="3" t="s">
        <v>64</v>
      </c>
      <c r="C129" s="80">
        <v>6051.96</v>
      </c>
      <c r="D129" s="5">
        <f t="shared" si="52"/>
        <v>5.640000000000001</v>
      </c>
      <c r="E129" s="5"/>
      <c r="F129" s="7">
        <f t="shared" si="74"/>
        <v>1.9</v>
      </c>
      <c r="G129" s="2">
        <v>0.25</v>
      </c>
      <c r="H129" s="2">
        <f t="shared" si="54"/>
        <v>18155.88</v>
      </c>
      <c r="I129" s="2"/>
      <c r="J129" s="2">
        <f t="shared" si="55"/>
        <v>0</v>
      </c>
      <c r="K129" s="2"/>
      <c r="L129" s="2">
        <f t="shared" si="56"/>
        <v>0</v>
      </c>
      <c r="M129" s="2">
        <v>1.2</v>
      </c>
      <c r="N129" s="2">
        <f t="shared" si="57"/>
        <v>87148.224</v>
      </c>
      <c r="O129" s="2"/>
      <c r="P129" s="2">
        <f t="shared" si="58"/>
        <v>0</v>
      </c>
      <c r="Q129" s="2"/>
      <c r="R129" s="2">
        <f t="shared" si="59"/>
        <v>0</v>
      </c>
      <c r="S129" s="2">
        <v>0.35</v>
      </c>
      <c r="T129" s="21">
        <f t="shared" si="60"/>
        <v>25418.231999999996</v>
      </c>
      <c r="U129" s="2">
        <v>0.1</v>
      </c>
      <c r="V129" s="21">
        <f t="shared" si="61"/>
        <v>7262.352000000001</v>
      </c>
      <c r="W129" s="6">
        <f t="shared" si="62"/>
        <v>69</v>
      </c>
      <c r="X129" s="3" t="s">
        <v>64</v>
      </c>
      <c r="Y129" s="80">
        <v>6051.96</v>
      </c>
      <c r="Z129" s="32">
        <f t="shared" si="63"/>
        <v>2.64</v>
      </c>
      <c r="AA129" s="2">
        <v>0.64</v>
      </c>
      <c r="AB129" s="21">
        <f t="shared" si="64"/>
        <v>46479.052800000005</v>
      </c>
      <c r="AC129" s="2">
        <v>0.7</v>
      </c>
      <c r="AD129" s="21">
        <f t="shared" si="65"/>
        <v>50836.46399999999</v>
      </c>
      <c r="AE129" s="2">
        <v>0.7</v>
      </c>
      <c r="AF129" s="21">
        <f t="shared" si="75"/>
        <v>50836.46399999999</v>
      </c>
      <c r="AG129" s="2">
        <v>0.5</v>
      </c>
      <c r="AH129" s="21">
        <f t="shared" si="66"/>
        <v>36311.76</v>
      </c>
      <c r="AI129" s="2">
        <v>0.1</v>
      </c>
      <c r="AJ129" s="21">
        <f t="shared" si="76"/>
        <v>7262.352000000001</v>
      </c>
      <c r="AK129" s="32">
        <f t="shared" si="68"/>
        <v>1.1</v>
      </c>
      <c r="AL129" s="6">
        <v>0.3</v>
      </c>
      <c r="AM129" s="21">
        <f t="shared" si="69"/>
        <v>21787.056</v>
      </c>
      <c r="AN129" s="6"/>
      <c r="AO129" s="21">
        <f t="shared" si="70"/>
        <v>0</v>
      </c>
      <c r="AP129" s="197"/>
      <c r="AQ129" s="21">
        <f t="shared" si="71"/>
        <v>0</v>
      </c>
      <c r="AR129" s="6"/>
      <c r="AS129" s="21">
        <f t="shared" si="72"/>
        <v>0</v>
      </c>
      <c r="AT129" s="6">
        <v>0.8</v>
      </c>
      <c r="AU129" s="21">
        <f t="shared" si="73"/>
        <v>58098.816000000006</v>
      </c>
      <c r="AV129" s="16"/>
    </row>
    <row r="130" spans="1:48" ht="12.75">
      <c r="A130" s="6">
        <f t="shared" si="50"/>
        <v>70</v>
      </c>
      <c r="B130" s="3" t="s">
        <v>65</v>
      </c>
      <c r="C130" s="80">
        <v>3331.1</v>
      </c>
      <c r="D130" s="5">
        <f t="shared" si="52"/>
        <v>6.040000000000001</v>
      </c>
      <c r="E130" s="5"/>
      <c r="F130" s="7">
        <f t="shared" si="74"/>
        <v>1.79</v>
      </c>
      <c r="G130" s="2">
        <v>0.7</v>
      </c>
      <c r="H130" s="2">
        <f t="shared" si="54"/>
        <v>27981.239999999998</v>
      </c>
      <c r="I130" s="2"/>
      <c r="J130" s="2">
        <f t="shared" si="55"/>
        <v>0</v>
      </c>
      <c r="K130" s="2"/>
      <c r="L130" s="2">
        <f t="shared" si="56"/>
        <v>0</v>
      </c>
      <c r="M130" s="2"/>
      <c r="N130" s="2">
        <f t="shared" si="57"/>
        <v>0</v>
      </c>
      <c r="O130" s="2">
        <v>0.38</v>
      </c>
      <c r="P130" s="2">
        <f t="shared" si="58"/>
        <v>15189.815999999999</v>
      </c>
      <c r="Q130" s="2"/>
      <c r="R130" s="2">
        <f t="shared" si="59"/>
        <v>0</v>
      </c>
      <c r="S130" s="2">
        <v>0.36</v>
      </c>
      <c r="T130" s="21">
        <f t="shared" si="60"/>
        <v>14390.351999999999</v>
      </c>
      <c r="U130" s="2">
        <v>0.35</v>
      </c>
      <c r="V130" s="21">
        <f t="shared" si="61"/>
        <v>13990.619999999999</v>
      </c>
      <c r="W130" s="6">
        <f t="shared" si="62"/>
        <v>70</v>
      </c>
      <c r="X130" s="3" t="s">
        <v>65</v>
      </c>
      <c r="Y130" s="80">
        <v>3331.1</v>
      </c>
      <c r="Z130" s="32">
        <f t="shared" si="63"/>
        <v>3.1500000000000004</v>
      </c>
      <c r="AA130" s="2">
        <v>0.8</v>
      </c>
      <c r="AB130" s="21">
        <f t="shared" si="64"/>
        <v>31978.56</v>
      </c>
      <c r="AC130" s="2">
        <v>0.8</v>
      </c>
      <c r="AD130" s="21">
        <f t="shared" si="65"/>
        <v>31978.56</v>
      </c>
      <c r="AE130" s="2">
        <v>0.8</v>
      </c>
      <c r="AF130" s="21">
        <f t="shared" si="75"/>
        <v>31978.56</v>
      </c>
      <c r="AG130" s="2">
        <v>0.4</v>
      </c>
      <c r="AH130" s="21">
        <f t="shared" si="66"/>
        <v>15989.28</v>
      </c>
      <c r="AI130" s="2">
        <v>0.35</v>
      </c>
      <c r="AJ130" s="21">
        <f t="shared" si="76"/>
        <v>13990.619999999999</v>
      </c>
      <c r="AK130" s="32">
        <f t="shared" si="68"/>
        <v>1.1</v>
      </c>
      <c r="AL130" s="6"/>
      <c r="AM130" s="21">
        <f t="shared" si="69"/>
        <v>0</v>
      </c>
      <c r="AN130" s="6"/>
      <c r="AO130" s="21">
        <f t="shared" si="70"/>
        <v>0</v>
      </c>
      <c r="AP130" s="197"/>
      <c r="AQ130" s="21">
        <f t="shared" si="71"/>
        <v>0</v>
      </c>
      <c r="AR130" s="6">
        <v>0.3</v>
      </c>
      <c r="AS130" s="21">
        <f t="shared" si="72"/>
        <v>11991.96</v>
      </c>
      <c r="AT130" s="6">
        <v>0.8</v>
      </c>
      <c r="AU130" s="21">
        <f t="shared" si="73"/>
        <v>31978.56</v>
      </c>
      <c r="AV130" s="16"/>
    </row>
    <row r="131" spans="1:48" ht="12.75">
      <c r="A131" s="6">
        <f t="shared" si="50"/>
        <v>71</v>
      </c>
      <c r="B131" s="3" t="s">
        <v>66</v>
      </c>
      <c r="C131" s="80">
        <v>3429.3</v>
      </c>
      <c r="D131" s="5">
        <f t="shared" si="52"/>
        <v>5.57</v>
      </c>
      <c r="E131" s="5"/>
      <c r="F131" s="7">
        <f t="shared" si="74"/>
        <v>2.86</v>
      </c>
      <c r="G131" s="2">
        <v>0.7</v>
      </c>
      <c r="H131" s="2">
        <f t="shared" si="54"/>
        <v>28806.119999999995</v>
      </c>
      <c r="I131" s="2">
        <v>0.86</v>
      </c>
      <c r="J131" s="2">
        <f t="shared" si="55"/>
        <v>35390.376000000004</v>
      </c>
      <c r="K131" s="2"/>
      <c r="L131" s="2">
        <f t="shared" si="56"/>
        <v>0</v>
      </c>
      <c r="M131" s="2"/>
      <c r="N131" s="2">
        <f t="shared" si="57"/>
        <v>0</v>
      </c>
      <c r="O131" s="2">
        <v>0.5</v>
      </c>
      <c r="P131" s="2">
        <f t="shared" si="58"/>
        <v>20575.800000000003</v>
      </c>
      <c r="Q131" s="2"/>
      <c r="R131" s="2">
        <f t="shared" si="59"/>
        <v>0</v>
      </c>
      <c r="S131" s="2">
        <v>0.5</v>
      </c>
      <c r="T131" s="21">
        <f t="shared" si="60"/>
        <v>20575.800000000003</v>
      </c>
      <c r="U131" s="2">
        <v>0.3</v>
      </c>
      <c r="V131" s="21">
        <f t="shared" si="61"/>
        <v>12345.48</v>
      </c>
      <c r="W131" s="6">
        <f t="shared" si="62"/>
        <v>71</v>
      </c>
      <c r="X131" s="3" t="s">
        <v>66</v>
      </c>
      <c r="Y131" s="80">
        <v>3429.3</v>
      </c>
      <c r="Z131" s="32">
        <f t="shared" si="63"/>
        <v>1.71</v>
      </c>
      <c r="AA131" s="2">
        <v>0.41</v>
      </c>
      <c r="AB131" s="21">
        <f t="shared" si="64"/>
        <v>16872.156</v>
      </c>
      <c r="AC131" s="2">
        <v>0.3</v>
      </c>
      <c r="AD131" s="21">
        <f t="shared" si="65"/>
        <v>12345.48</v>
      </c>
      <c r="AE131" s="2">
        <v>0.3</v>
      </c>
      <c r="AF131" s="21">
        <f t="shared" si="75"/>
        <v>12345.48</v>
      </c>
      <c r="AG131" s="2">
        <v>0.6</v>
      </c>
      <c r="AH131" s="21">
        <f t="shared" si="66"/>
        <v>24690.96</v>
      </c>
      <c r="AI131" s="2">
        <v>0.1</v>
      </c>
      <c r="AJ131" s="21">
        <f t="shared" si="76"/>
        <v>4115.160000000001</v>
      </c>
      <c r="AK131" s="32">
        <f t="shared" si="68"/>
        <v>1</v>
      </c>
      <c r="AL131" s="6">
        <v>0.5</v>
      </c>
      <c r="AM131" s="21">
        <f t="shared" si="69"/>
        <v>20575.800000000003</v>
      </c>
      <c r="AN131" s="6"/>
      <c r="AO131" s="21">
        <f t="shared" si="70"/>
        <v>0</v>
      </c>
      <c r="AP131" s="197"/>
      <c r="AQ131" s="21">
        <f t="shared" si="71"/>
        <v>0</v>
      </c>
      <c r="AR131" s="6">
        <v>0.5</v>
      </c>
      <c r="AS131" s="21">
        <f t="shared" si="72"/>
        <v>20575.800000000003</v>
      </c>
      <c r="AT131" s="6"/>
      <c r="AU131" s="21">
        <f t="shared" si="73"/>
        <v>0</v>
      </c>
      <c r="AV131" s="16"/>
    </row>
    <row r="132" spans="1:48" ht="12.75">
      <c r="A132" s="6">
        <f t="shared" si="50"/>
        <v>72</v>
      </c>
      <c r="B132" s="3" t="s">
        <v>67</v>
      </c>
      <c r="C132" s="80">
        <v>3762.8</v>
      </c>
      <c r="D132" s="5">
        <f t="shared" si="52"/>
        <v>5.93</v>
      </c>
      <c r="E132" s="5"/>
      <c r="F132" s="7">
        <f t="shared" si="74"/>
        <v>1.12</v>
      </c>
      <c r="G132" s="2">
        <v>0.81</v>
      </c>
      <c r="H132" s="2">
        <f t="shared" si="54"/>
        <v>36574.416000000005</v>
      </c>
      <c r="I132" s="2"/>
      <c r="J132" s="2">
        <f t="shared" si="55"/>
        <v>0</v>
      </c>
      <c r="K132" s="2"/>
      <c r="L132" s="2">
        <f t="shared" si="56"/>
        <v>0</v>
      </c>
      <c r="M132" s="2"/>
      <c r="N132" s="2">
        <f t="shared" si="57"/>
        <v>0</v>
      </c>
      <c r="O132" s="2"/>
      <c r="P132" s="2">
        <f t="shared" si="58"/>
        <v>0</v>
      </c>
      <c r="Q132" s="2"/>
      <c r="R132" s="2">
        <f t="shared" si="59"/>
        <v>0</v>
      </c>
      <c r="S132" s="2">
        <v>0.2</v>
      </c>
      <c r="T132" s="21">
        <f t="shared" si="60"/>
        <v>9030.720000000001</v>
      </c>
      <c r="U132" s="2">
        <v>0.11</v>
      </c>
      <c r="V132" s="21">
        <f t="shared" si="61"/>
        <v>4966.896000000001</v>
      </c>
      <c r="W132" s="6">
        <f t="shared" si="62"/>
        <v>72</v>
      </c>
      <c r="X132" s="3" t="s">
        <v>67</v>
      </c>
      <c r="Y132" s="80">
        <v>3762.8</v>
      </c>
      <c r="Z132" s="32">
        <f t="shared" si="63"/>
        <v>1.51</v>
      </c>
      <c r="AA132" s="2">
        <v>0.3</v>
      </c>
      <c r="AB132" s="21">
        <f t="shared" si="64"/>
        <v>13546.079999999998</v>
      </c>
      <c r="AC132" s="2">
        <v>0.3</v>
      </c>
      <c r="AD132" s="21">
        <f t="shared" si="65"/>
        <v>13546.079999999998</v>
      </c>
      <c r="AE132" s="2">
        <v>0.3</v>
      </c>
      <c r="AF132" s="21">
        <f t="shared" si="75"/>
        <v>13546.079999999998</v>
      </c>
      <c r="AG132" s="2">
        <v>0.5</v>
      </c>
      <c r="AH132" s="21">
        <f t="shared" si="66"/>
        <v>22576.800000000003</v>
      </c>
      <c r="AI132" s="2">
        <v>0.11</v>
      </c>
      <c r="AJ132" s="21">
        <f t="shared" si="76"/>
        <v>4966.896000000001</v>
      </c>
      <c r="AK132" s="32">
        <f t="shared" si="68"/>
        <v>3.3</v>
      </c>
      <c r="AL132" s="6"/>
      <c r="AM132" s="21">
        <f t="shared" si="69"/>
        <v>0</v>
      </c>
      <c r="AN132" s="6">
        <v>3.3</v>
      </c>
      <c r="AO132" s="21">
        <f t="shared" si="70"/>
        <v>149006.88</v>
      </c>
      <c r="AP132" s="197"/>
      <c r="AQ132" s="21">
        <f t="shared" si="71"/>
        <v>0</v>
      </c>
      <c r="AR132" s="6"/>
      <c r="AS132" s="21">
        <f t="shared" si="72"/>
        <v>0</v>
      </c>
      <c r="AT132" s="6"/>
      <c r="AU132" s="21">
        <f t="shared" si="73"/>
        <v>0</v>
      </c>
      <c r="AV132" s="16"/>
    </row>
    <row r="133" spans="1:48" ht="12.75">
      <c r="A133" s="6">
        <f t="shared" si="50"/>
        <v>73</v>
      </c>
      <c r="B133" s="3" t="s">
        <v>120</v>
      </c>
      <c r="C133" s="43">
        <v>2514.3</v>
      </c>
      <c r="D133" s="5">
        <f t="shared" si="52"/>
        <v>5.75</v>
      </c>
      <c r="E133" s="5"/>
      <c r="F133" s="7">
        <f t="shared" si="74"/>
        <v>5.65</v>
      </c>
      <c r="G133" s="2">
        <v>0.5</v>
      </c>
      <c r="H133" s="2">
        <f t="shared" si="54"/>
        <v>15085.800000000001</v>
      </c>
      <c r="I133" s="2">
        <v>1</v>
      </c>
      <c r="J133" s="2">
        <f t="shared" si="55"/>
        <v>30171.600000000002</v>
      </c>
      <c r="K133" s="190">
        <v>0.75</v>
      </c>
      <c r="L133" s="2">
        <f t="shared" si="56"/>
        <v>22628.7</v>
      </c>
      <c r="M133" s="2">
        <v>3</v>
      </c>
      <c r="N133" s="2">
        <f t="shared" si="57"/>
        <v>90514.8</v>
      </c>
      <c r="O133" s="190"/>
      <c r="P133" s="2">
        <f t="shared" si="58"/>
        <v>0</v>
      </c>
      <c r="Q133" s="190"/>
      <c r="R133" s="2">
        <f t="shared" si="59"/>
        <v>0</v>
      </c>
      <c r="S133" s="2">
        <v>0.2</v>
      </c>
      <c r="T133" s="21">
        <f t="shared" si="60"/>
        <v>6034.320000000001</v>
      </c>
      <c r="U133" s="2">
        <v>0.2</v>
      </c>
      <c r="V133" s="21">
        <f t="shared" si="61"/>
        <v>6034.320000000001</v>
      </c>
      <c r="W133" s="6">
        <f t="shared" si="62"/>
        <v>73</v>
      </c>
      <c r="X133" s="3" t="s">
        <v>120</v>
      </c>
      <c r="Y133" s="43">
        <v>2514.3</v>
      </c>
      <c r="Z133" s="32">
        <f t="shared" si="63"/>
        <v>0.1</v>
      </c>
      <c r="AA133" s="2"/>
      <c r="AB133" s="21">
        <f t="shared" si="64"/>
        <v>0</v>
      </c>
      <c r="AC133" s="2"/>
      <c r="AD133" s="21">
        <f t="shared" si="65"/>
        <v>0</v>
      </c>
      <c r="AE133" s="190"/>
      <c r="AF133" s="21">
        <f t="shared" si="75"/>
        <v>0</v>
      </c>
      <c r="AG133" s="190"/>
      <c r="AH133" s="21">
        <f t="shared" si="66"/>
        <v>0</v>
      </c>
      <c r="AI133" s="2">
        <v>0.1</v>
      </c>
      <c r="AJ133" s="21">
        <f>AI133*C133*12</f>
        <v>3017.1600000000003</v>
      </c>
      <c r="AK133" s="32">
        <f t="shared" si="68"/>
        <v>0</v>
      </c>
      <c r="AL133" s="190"/>
      <c r="AM133" s="21">
        <f t="shared" si="69"/>
        <v>0</v>
      </c>
      <c r="AN133" s="190"/>
      <c r="AO133" s="21">
        <f t="shared" si="70"/>
        <v>0</v>
      </c>
      <c r="AP133" s="190"/>
      <c r="AQ133" s="21">
        <f t="shared" si="71"/>
        <v>0</v>
      </c>
      <c r="AR133" s="190"/>
      <c r="AS133" s="21">
        <f t="shared" si="72"/>
        <v>0</v>
      </c>
      <c r="AT133" s="190"/>
      <c r="AU133" s="21">
        <f t="shared" si="73"/>
        <v>0</v>
      </c>
      <c r="AV133" s="16"/>
    </row>
    <row r="134" spans="1:48" ht="12.75">
      <c r="A134" s="6">
        <f t="shared" si="50"/>
        <v>74</v>
      </c>
      <c r="B134" s="3" t="s">
        <v>121</v>
      </c>
      <c r="C134" s="43">
        <v>1997.3</v>
      </c>
      <c r="D134" s="5">
        <f t="shared" si="52"/>
        <v>5.100000000000001</v>
      </c>
      <c r="E134" s="5"/>
      <c r="F134" s="7">
        <f t="shared" si="74"/>
        <v>2.6000000000000005</v>
      </c>
      <c r="G134" s="2">
        <v>0.7</v>
      </c>
      <c r="H134" s="2">
        <f t="shared" si="54"/>
        <v>16777.32</v>
      </c>
      <c r="I134" s="2">
        <v>1</v>
      </c>
      <c r="J134" s="2">
        <f t="shared" si="55"/>
        <v>23967.6</v>
      </c>
      <c r="K134" s="2">
        <v>0.5</v>
      </c>
      <c r="L134" s="2">
        <f t="shared" si="56"/>
        <v>11983.8</v>
      </c>
      <c r="M134" s="190"/>
      <c r="N134" s="2">
        <f t="shared" si="57"/>
        <v>0</v>
      </c>
      <c r="O134" s="190"/>
      <c r="P134" s="2">
        <f t="shared" si="58"/>
        <v>0</v>
      </c>
      <c r="Q134" s="190"/>
      <c r="R134" s="2">
        <f t="shared" si="59"/>
        <v>0</v>
      </c>
      <c r="S134" s="2">
        <v>0.2</v>
      </c>
      <c r="T134" s="21">
        <f t="shared" si="60"/>
        <v>4793.52</v>
      </c>
      <c r="U134" s="2">
        <v>0.2</v>
      </c>
      <c r="V134" s="21">
        <f t="shared" si="61"/>
        <v>4793.52</v>
      </c>
      <c r="W134" s="6">
        <f t="shared" si="62"/>
        <v>74</v>
      </c>
      <c r="X134" s="3" t="s">
        <v>121</v>
      </c>
      <c r="Y134" s="43">
        <v>1997.3</v>
      </c>
      <c r="Z134" s="32">
        <f t="shared" si="63"/>
        <v>2.5000000000000004</v>
      </c>
      <c r="AA134" s="2">
        <v>0.9</v>
      </c>
      <c r="AB134" s="21">
        <f t="shared" si="64"/>
        <v>21570.84</v>
      </c>
      <c r="AC134" s="2">
        <v>0.4</v>
      </c>
      <c r="AD134" s="21">
        <f t="shared" si="65"/>
        <v>9587.04</v>
      </c>
      <c r="AE134" s="2">
        <v>0.4</v>
      </c>
      <c r="AF134" s="21">
        <f t="shared" si="75"/>
        <v>9587.04</v>
      </c>
      <c r="AG134" s="2">
        <v>0.6</v>
      </c>
      <c r="AH134" s="21">
        <f t="shared" si="66"/>
        <v>14380.559999999998</v>
      </c>
      <c r="AI134" s="2">
        <v>0.2</v>
      </c>
      <c r="AJ134" s="21">
        <f t="shared" si="76"/>
        <v>4793.52</v>
      </c>
      <c r="AK134" s="32">
        <f t="shared" si="68"/>
        <v>0</v>
      </c>
      <c r="AL134" s="190"/>
      <c r="AM134" s="21">
        <f t="shared" si="69"/>
        <v>0</v>
      </c>
      <c r="AN134" s="190"/>
      <c r="AO134" s="21">
        <f t="shared" si="70"/>
        <v>0</v>
      </c>
      <c r="AP134" s="190"/>
      <c r="AQ134" s="21">
        <f t="shared" si="71"/>
        <v>0</v>
      </c>
      <c r="AR134" s="190"/>
      <c r="AS134" s="21">
        <f t="shared" si="72"/>
        <v>0</v>
      </c>
      <c r="AT134" s="190"/>
      <c r="AU134" s="21">
        <f t="shared" si="73"/>
        <v>0</v>
      </c>
      <c r="AV134" s="16"/>
    </row>
    <row r="135" spans="1:48" ht="12.75">
      <c r="A135" s="6">
        <f t="shared" si="50"/>
        <v>75</v>
      </c>
      <c r="B135" s="3" t="s">
        <v>122</v>
      </c>
      <c r="C135" s="43">
        <v>2576.2</v>
      </c>
      <c r="D135" s="5">
        <f t="shared" si="52"/>
        <v>5.24</v>
      </c>
      <c r="E135" s="5"/>
      <c r="F135" s="7">
        <f t="shared" si="74"/>
        <v>4.140000000000001</v>
      </c>
      <c r="G135" s="2">
        <v>0.5</v>
      </c>
      <c r="H135" s="2">
        <f t="shared" si="54"/>
        <v>15457.199999999999</v>
      </c>
      <c r="I135" s="2">
        <v>2</v>
      </c>
      <c r="J135" s="2">
        <f t="shared" si="55"/>
        <v>61828.799999999996</v>
      </c>
      <c r="K135" s="190">
        <v>1.24</v>
      </c>
      <c r="L135" s="2">
        <f t="shared" si="56"/>
        <v>38333.856</v>
      </c>
      <c r="M135" s="190"/>
      <c r="N135" s="2">
        <f t="shared" si="57"/>
        <v>0</v>
      </c>
      <c r="O135" s="190"/>
      <c r="P135" s="2">
        <f t="shared" si="58"/>
        <v>0</v>
      </c>
      <c r="Q135" s="190"/>
      <c r="R135" s="2">
        <f t="shared" si="59"/>
        <v>0</v>
      </c>
      <c r="S135" s="2">
        <v>0.2</v>
      </c>
      <c r="T135" s="21">
        <f t="shared" si="60"/>
        <v>6182.88</v>
      </c>
      <c r="U135" s="2">
        <v>0.2</v>
      </c>
      <c r="V135" s="21">
        <f t="shared" si="61"/>
        <v>6182.88</v>
      </c>
      <c r="W135" s="6">
        <f t="shared" si="62"/>
        <v>75</v>
      </c>
      <c r="X135" s="3" t="s">
        <v>122</v>
      </c>
      <c r="Y135" s="43">
        <v>2576.2</v>
      </c>
      <c r="Z135" s="32">
        <f t="shared" si="63"/>
        <v>1.0999999999999999</v>
      </c>
      <c r="AA135" s="2">
        <v>0.5</v>
      </c>
      <c r="AB135" s="21">
        <f t="shared" si="64"/>
        <v>15457.199999999999</v>
      </c>
      <c r="AC135" s="2">
        <v>0.1</v>
      </c>
      <c r="AD135" s="21">
        <f t="shared" si="65"/>
        <v>3091.44</v>
      </c>
      <c r="AE135" s="2">
        <v>0.3</v>
      </c>
      <c r="AF135" s="21">
        <f t="shared" si="75"/>
        <v>9274.32</v>
      </c>
      <c r="AG135" s="2">
        <v>0.1</v>
      </c>
      <c r="AH135" s="21">
        <f t="shared" si="66"/>
        <v>3091.44</v>
      </c>
      <c r="AI135" s="2">
        <v>0.1</v>
      </c>
      <c r="AJ135" s="21">
        <f t="shared" si="76"/>
        <v>3091.44</v>
      </c>
      <c r="AK135" s="32">
        <f t="shared" si="68"/>
        <v>0</v>
      </c>
      <c r="AL135" s="190"/>
      <c r="AM135" s="21">
        <f t="shared" si="69"/>
        <v>0</v>
      </c>
      <c r="AN135" s="190"/>
      <c r="AO135" s="21">
        <f t="shared" si="70"/>
        <v>0</v>
      </c>
      <c r="AP135" s="190"/>
      <c r="AQ135" s="21">
        <f t="shared" si="71"/>
        <v>0</v>
      </c>
      <c r="AR135" s="190"/>
      <c r="AS135" s="21">
        <f t="shared" si="72"/>
        <v>0</v>
      </c>
      <c r="AT135" s="190"/>
      <c r="AU135" s="21">
        <f t="shared" si="73"/>
        <v>0</v>
      </c>
      <c r="AV135" s="16"/>
    </row>
    <row r="136" spans="1:48" ht="12.75">
      <c r="A136" s="6">
        <f t="shared" si="50"/>
        <v>76</v>
      </c>
      <c r="B136" s="3" t="s">
        <v>235</v>
      </c>
      <c r="C136" s="43">
        <v>1713.4</v>
      </c>
      <c r="D136" s="5">
        <f t="shared" si="52"/>
        <v>6.4</v>
      </c>
      <c r="E136" s="5"/>
      <c r="F136" s="7">
        <f t="shared" si="74"/>
        <v>3.9</v>
      </c>
      <c r="G136" s="2">
        <v>0.37</v>
      </c>
      <c r="H136" s="2">
        <f t="shared" si="54"/>
        <v>7607.495999999999</v>
      </c>
      <c r="I136" s="2">
        <v>0.6</v>
      </c>
      <c r="J136" s="2">
        <f t="shared" si="55"/>
        <v>12336.48</v>
      </c>
      <c r="K136" s="2"/>
      <c r="L136" s="2">
        <f t="shared" si="56"/>
        <v>0</v>
      </c>
      <c r="M136" s="2">
        <v>2.5</v>
      </c>
      <c r="N136" s="2">
        <f t="shared" si="57"/>
        <v>51402</v>
      </c>
      <c r="O136" s="2">
        <v>0.12</v>
      </c>
      <c r="P136" s="2">
        <f t="shared" si="58"/>
        <v>2467.2960000000003</v>
      </c>
      <c r="Q136" s="2"/>
      <c r="R136" s="2">
        <f t="shared" si="59"/>
        <v>0</v>
      </c>
      <c r="S136" s="2">
        <v>0.2</v>
      </c>
      <c r="T136" s="21">
        <f t="shared" si="60"/>
        <v>4112.160000000001</v>
      </c>
      <c r="U136" s="2">
        <v>0.11</v>
      </c>
      <c r="V136" s="21">
        <f t="shared" si="61"/>
        <v>2261.688</v>
      </c>
      <c r="W136" s="6">
        <f t="shared" si="62"/>
        <v>76</v>
      </c>
      <c r="X136" s="3" t="s">
        <v>235</v>
      </c>
      <c r="Y136" s="43">
        <v>1713.4</v>
      </c>
      <c r="Z136" s="32">
        <f t="shared" si="63"/>
        <v>2.5</v>
      </c>
      <c r="AA136" s="2">
        <v>0.6</v>
      </c>
      <c r="AB136" s="21">
        <f t="shared" si="64"/>
        <v>12336.48</v>
      </c>
      <c r="AC136" s="2">
        <v>0.5</v>
      </c>
      <c r="AD136" s="21">
        <f t="shared" si="65"/>
        <v>10280.400000000001</v>
      </c>
      <c r="AE136" s="2">
        <v>0.5</v>
      </c>
      <c r="AF136" s="21">
        <f t="shared" si="75"/>
        <v>10280.400000000001</v>
      </c>
      <c r="AG136" s="2">
        <v>0.79</v>
      </c>
      <c r="AH136" s="21">
        <f t="shared" si="66"/>
        <v>16243.032000000003</v>
      </c>
      <c r="AI136" s="2">
        <v>0.11</v>
      </c>
      <c r="AJ136" s="21">
        <f t="shared" si="76"/>
        <v>2261.688</v>
      </c>
      <c r="AK136" s="32">
        <f t="shared" si="68"/>
        <v>0</v>
      </c>
      <c r="AL136" s="6"/>
      <c r="AM136" s="21">
        <f t="shared" si="69"/>
        <v>0</v>
      </c>
      <c r="AN136" s="6"/>
      <c r="AO136" s="21">
        <f t="shared" si="70"/>
        <v>0</v>
      </c>
      <c r="AP136" s="197"/>
      <c r="AQ136" s="21">
        <f t="shared" si="71"/>
        <v>0</v>
      </c>
      <c r="AR136" s="6"/>
      <c r="AS136" s="21">
        <f t="shared" si="72"/>
        <v>0</v>
      </c>
      <c r="AT136" s="6"/>
      <c r="AU136" s="21">
        <f t="shared" si="73"/>
        <v>0</v>
      </c>
      <c r="AV136" s="16"/>
    </row>
    <row r="137" spans="1:48" ht="12.75">
      <c r="A137" s="6">
        <f t="shared" si="50"/>
        <v>77</v>
      </c>
      <c r="B137" s="3" t="s">
        <v>276</v>
      </c>
      <c r="C137" s="168">
        <v>1466</v>
      </c>
      <c r="D137" s="5">
        <f t="shared" si="52"/>
        <v>5.640000000000001</v>
      </c>
      <c r="E137" s="5"/>
      <c r="F137" s="7">
        <f t="shared" si="74"/>
        <v>2.4400000000000004</v>
      </c>
      <c r="G137" s="2">
        <v>0.29</v>
      </c>
      <c r="H137" s="2">
        <f t="shared" si="54"/>
        <v>5101.68</v>
      </c>
      <c r="I137" s="2">
        <v>0.3</v>
      </c>
      <c r="J137" s="2">
        <f t="shared" si="55"/>
        <v>5277.6</v>
      </c>
      <c r="K137" s="190"/>
      <c r="L137" s="2">
        <f t="shared" si="56"/>
        <v>0</v>
      </c>
      <c r="M137" s="190">
        <v>1.55</v>
      </c>
      <c r="N137" s="2">
        <f t="shared" si="57"/>
        <v>27267.600000000002</v>
      </c>
      <c r="O137" s="190"/>
      <c r="P137" s="2">
        <f t="shared" si="58"/>
        <v>0</v>
      </c>
      <c r="Q137" s="190"/>
      <c r="R137" s="2">
        <f t="shared" si="59"/>
        <v>0</v>
      </c>
      <c r="S137" s="2">
        <v>0.2</v>
      </c>
      <c r="T137" s="21">
        <f t="shared" si="60"/>
        <v>3518.3999999999996</v>
      </c>
      <c r="U137" s="2">
        <v>0.1</v>
      </c>
      <c r="V137" s="21">
        <f t="shared" si="61"/>
        <v>1759.1999999999998</v>
      </c>
      <c r="W137" s="6">
        <f t="shared" si="62"/>
        <v>77</v>
      </c>
      <c r="X137" s="3" t="s">
        <v>276</v>
      </c>
      <c r="Y137" s="168">
        <v>1466</v>
      </c>
      <c r="Z137" s="32">
        <f t="shared" si="63"/>
        <v>3.2</v>
      </c>
      <c r="AA137" s="2">
        <v>0.9</v>
      </c>
      <c r="AB137" s="21">
        <f t="shared" si="64"/>
        <v>15832.800000000001</v>
      </c>
      <c r="AC137" s="2">
        <v>0.8</v>
      </c>
      <c r="AD137" s="21">
        <f t="shared" si="65"/>
        <v>14073.599999999999</v>
      </c>
      <c r="AE137" s="2">
        <v>0.8</v>
      </c>
      <c r="AF137" s="21">
        <f t="shared" si="75"/>
        <v>14073.599999999999</v>
      </c>
      <c r="AG137" s="2">
        <v>0.6</v>
      </c>
      <c r="AH137" s="21">
        <f t="shared" si="66"/>
        <v>10555.2</v>
      </c>
      <c r="AI137" s="2">
        <v>0.1</v>
      </c>
      <c r="AJ137" s="21">
        <f t="shared" si="76"/>
        <v>1759.1999999999998</v>
      </c>
      <c r="AK137" s="32">
        <f t="shared" si="68"/>
        <v>0</v>
      </c>
      <c r="AL137" s="190"/>
      <c r="AM137" s="21">
        <f t="shared" si="69"/>
        <v>0</v>
      </c>
      <c r="AN137" s="190"/>
      <c r="AO137" s="21">
        <f t="shared" si="70"/>
        <v>0</v>
      </c>
      <c r="AP137" s="190"/>
      <c r="AQ137" s="21">
        <f t="shared" si="71"/>
        <v>0</v>
      </c>
      <c r="AR137" s="190"/>
      <c r="AS137" s="21">
        <f t="shared" si="72"/>
        <v>0</v>
      </c>
      <c r="AT137" s="190"/>
      <c r="AU137" s="21">
        <f t="shared" si="73"/>
        <v>0</v>
      </c>
      <c r="AV137" s="16"/>
    </row>
    <row r="138" spans="1:48" ht="12.75">
      <c r="A138" s="6">
        <f t="shared" si="50"/>
        <v>78</v>
      </c>
      <c r="B138" s="3" t="s">
        <v>227</v>
      </c>
      <c r="C138" s="43">
        <v>1709.4</v>
      </c>
      <c r="D138" s="5">
        <f aca="true" t="shared" si="77" ref="D138:D201">F138+Z138+AK138+AV138</f>
        <v>5.609999999999999</v>
      </c>
      <c r="E138" s="5"/>
      <c r="F138" s="7">
        <f t="shared" si="74"/>
        <v>2.71</v>
      </c>
      <c r="G138" s="2">
        <v>0.36</v>
      </c>
      <c r="H138" s="2">
        <f aca="true" t="shared" si="78" ref="H138:H144">G138*C138*12</f>
        <v>7384.608</v>
      </c>
      <c r="I138" s="2"/>
      <c r="J138" s="2">
        <f aca="true" t="shared" si="79" ref="J138:J144">I138*C138*12</f>
        <v>0</v>
      </c>
      <c r="K138" s="190"/>
      <c r="L138" s="2">
        <f aca="true" t="shared" si="80" ref="L138:L144">K138*C138*12</f>
        <v>0</v>
      </c>
      <c r="M138" s="190">
        <v>2.05</v>
      </c>
      <c r="N138" s="2">
        <f aca="true" t="shared" si="81" ref="N138:N144">M138*C138*12</f>
        <v>42051.24</v>
      </c>
      <c r="O138" s="190"/>
      <c r="P138" s="2">
        <f aca="true" t="shared" si="82" ref="P138:P144">O138*C138*12</f>
        <v>0</v>
      </c>
      <c r="Q138" s="190"/>
      <c r="R138" s="2">
        <f aca="true" t="shared" si="83" ref="R138:R144">Q138*C138*12</f>
        <v>0</v>
      </c>
      <c r="S138" s="2">
        <v>0.2</v>
      </c>
      <c r="T138" s="21">
        <f aca="true" t="shared" si="84" ref="T138:T144">S138*C138*12</f>
        <v>4102.56</v>
      </c>
      <c r="U138" s="2">
        <v>0.1</v>
      </c>
      <c r="V138" s="21">
        <f aca="true" t="shared" si="85" ref="V138:V201">U138*C138*12</f>
        <v>2051.28</v>
      </c>
      <c r="W138" s="6">
        <f t="shared" si="62"/>
        <v>78</v>
      </c>
      <c r="X138" s="3" t="s">
        <v>227</v>
      </c>
      <c r="Y138" s="43">
        <v>1709.4</v>
      </c>
      <c r="Z138" s="32">
        <f aca="true" t="shared" si="86" ref="Z138:Z201">AA138+AC138+AE138+AG138+AI138</f>
        <v>2.9</v>
      </c>
      <c r="AA138" s="2">
        <v>0.6</v>
      </c>
      <c r="AB138" s="21">
        <f aca="true" t="shared" si="87" ref="AB138:AB144">AA138*C138*12</f>
        <v>12307.68</v>
      </c>
      <c r="AC138" s="2">
        <v>0.9</v>
      </c>
      <c r="AD138" s="21">
        <f aca="true" t="shared" si="88" ref="AD138:AD144">AC138*C138*12</f>
        <v>18461.52</v>
      </c>
      <c r="AE138" s="2">
        <v>0.9</v>
      </c>
      <c r="AF138" s="21">
        <f t="shared" si="75"/>
        <v>18461.52</v>
      </c>
      <c r="AG138" s="2">
        <v>0.3</v>
      </c>
      <c r="AH138" s="21">
        <f aca="true" t="shared" si="89" ref="AH138:AH144">AG138*C138*12</f>
        <v>6153.84</v>
      </c>
      <c r="AI138" s="2">
        <v>0.2</v>
      </c>
      <c r="AJ138" s="21">
        <f t="shared" si="76"/>
        <v>4102.56</v>
      </c>
      <c r="AK138" s="32">
        <f aca="true" t="shared" si="90" ref="AK138:AK201">AL138+AN138+AP138+AR138+AT138</f>
        <v>0</v>
      </c>
      <c r="AL138" s="190"/>
      <c r="AM138" s="21">
        <f aca="true" t="shared" si="91" ref="AM138:AM144">AL138*C138*12</f>
        <v>0</v>
      </c>
      <c r="AN138" s="190"/>
      <c r="AO138" s="21">
        <f aca="true" t="shared" si="92" ref="AO138:AO144">AN138*C138*12</f>
        <v>0</v>
      </c>
      <c r="AP138" s="190"/>
      <c r="AQ138" s="21">
        <f aca="true" t="shared" si="93" ref="AQ138:AQ144">AP138*C138*12</f>
        <v>0</v>
      </c>
      <c r="AR138" s="190"/>
      <c r="AS138" s="21">
        <f aca="true" t="shared" si="94" ref="AS138:AS144">AR138*C138*12</f>
        <v>0</v>
      </c>
      <c r="AT138" s="190"/>
      <c r="AU138" s="21">
        <f aca="true" t="shared" si="95" ref="AU138:AU190">AT138*C138*12</f>
        <v>0</v>
      </c>
      <c r="AV138" s="16"/>
    </row>
    <row r="139" spans="1:48" ht="12.75">
      <c r="A139" s="6">
        <f t="shared" si="50"/>
        <v>79</v>
      </c>
      <c r="B139" s="3" t="s">
        <v>228</v>
      </c>
      <c r="C139" s="43">
        <v>2385.7</v>
      </c>
      <c r="D139" s="5">
        <f t="shared" si="77"/>
        <v>5.61</v>
      </c>
      <c r="E139" s="5"/>
      <c r="F139" s="7">
        <f t="shared" si="74"/>
        <v>3.2100000000000004</v>
      </c>
      <c r="G139" s="2">
        <v>1.06</v>
      </c>
      <c r="H139" s="2">
        <f t="shared" si="78"/>
        <v>30346.104</v>
      </c>
      <c r="I139" s="2">
        <v>0.3</v>
      </c>
      <c r="J139" s="2">
        <f t="shared" si="79"/>
        <v>8588.519999999999</v>
      </c>
      <c r="K139" s="190">
        <v>1.55</v>
      </c>
      <c r="L139" s="2">
        <f t="shared" si="80"/>
        <v>44374.020000000004</v>
      </c>
      <c r="M139" s="190"/>
      <c r="N139" s="2">
        <f t="shared" si="81"/>
        <v>0</v>
      </c>
      <c r="O139" s="190"/>
      <c r="P139" s="2">
        <f t="shared" si="82"/>
        <v>0</v>
      </c>
      <c r="Q139" s="190"/>
      <c r="R139" s="2">
        <f t="shared" si="83"/>
        <v>0</v>
      </c>
      <c r="S139" s="2">
        <v>0.2</v>
      </c>
      <c r="T139" s="21">
        <f t="shared" si="84"/>
        <v>5725.68</v>
      </c>
      <c r="U139" s="2">
        <v>0.1</v>
      </c>
      <c r="V139" s="21">
        <f t="shared" si="85"/>
        <v>2862.84</v>
      </c>
      <c r="W139" s="6">
        <f t="shared" si="62"/>
        <v>79</v>
      </c>
      <c r="X139" s="3" t="s">
        <v>228</v>
      </c>
      <c r="Y139" s="43">
        <v>2385.7</v>
      </c>
      <c r="Z139" s="32">
        <f t="shared" si="86"/>
        <v>2.4</v>
      </c>
      <c r="AA139" s="2">
        <v>0.4</v>
      </c>
      <c r="AB139" s="21">
        <f t="shared" si="87"/>
        <v>11451.36</v>
      </c>
      <c r="AC139" s="2">
        <v>0.8</v>
      </c>
      <c r="AD139" s="21">
        <f t="shared" si="88"/>
        <v>22902.72</v>
      </c>
      <c r="AE139" s="2">
        <v>0.8</v>
      </c>
      <c r="AF139" s="21">
        <f t="shared" si="75"/>
        <v>22902.72</v>
      </c>
      <c r="AG139" s="2">
        <v>0.3</v>
      </c>
      <c r="AH139" s="21">
        <f t="shared" si="89"/>
        <v>8588.519999999999</v>
      </c>
      <c r="AI139" s="2">
        <v>0.1</v>
      </c>
      <c r="AJ139" s="21">
        <f t="shared" si="76"/>
        <v>2862.84</v>
      </c>
      <c r="AK139" s="32">
        <f t="shared" si="90"/>
        <v>0</v>
      </c>
      <c r="AL139" s="190"/>
      <c r="AM139" s="21">
        <f t="shared" si="91"/>
        <v>0</v>
      </c>
      <c r="AN139" s="190"/>
      <c r="AO139" s="21">
        <f t="shared" si="92"/>
        <v>0</v>
      </c>
      <c r="AP139" s="190"/>
      <c r="AQ139" s="21">
        <f t="shared" si="93"/>
        <v>0</v>
      </c>
      <c r="AR139" s="190"/>
      <c r="AS139" s="21">
        <f t="shared" si="94"/>
        <v>0</v>
      </c>
      <c r="AT139" s="190"/>
      <c r="AU139" s="21">
        <f t="shared" si="95"/>
        <v>0</v>
      </c>
      <c r="AV139" s="16"/>
    </row>
    <row r="140" spans="1:48" ht="12.75">
      <c r="A140" s="6">
        <f t="shared" si="50"/>
        <v>80</v>
      </c>
      <c r="B140" s="3" t="s">
        <v>214</v>
      </c>
      <c r="C140" s="80">
        <v>2017.1</v>
      </c>
      <c r="D140" s="5">
        <f t="shared" si="77"/>
        <v>5.55</v>
      </c>
      <c r="E140" s="5"/>
      <c r="F140" s="7">
        <f t="shared" si="74"/>
        <v>3.85</v>
      </c>
      <c r="G140" s="2">
        <v>1.5</v>
      </c>
      <c r="H140" s="2">
        <f t="shared" si="78"/>
        <v>36307.799999999996</v>
      </c>
      <c r="I140" s="2">
        <v>1</v>
      </c>
      <c r="J140" s="2">
        <f t="shared" si="79"/>
        <v>24205.199999999997</v>
      </c>
      <c r="K140" s="2">
        <v>1.05</v>
      </c>
      <c r="L140" s="2">
        <f t="shared" si="80"/>
        <v>25415.46</v>
      </c>
      <c r="M140" s="2"/>
      <c r="N140" s="2">
        <f t="shared" si="81"/>
        <v>0</v>
      </c>
      <c r="O140" s="2"/>
      <c r="P140" s="2">
        <f t="shared" si="82"/>
        <v>0</v>
      </c>
      <c r="Q140" s="2"/>
      <c r="R140" s="2">
        <f t="shared" si="83"/>
        <v>0</v>
      </c>
      <c r="S140" s="2">
        <v>0.2</v>
      </c>
      <c r="T140" s="21">
        <f t="shared" si="84"/>
        <v>4841.04</v>
      </c>
      <c r="U140" s="2">
        <v>0.1</v>
      </c>
      <c r="V140" s="21">
        <f t="shared" si="85"/>
        <v>2420.52</v>
      </c>
      <c r="W140" s="6">
        <f t="shared" si="62"/>
        <v>80</v>
      </c>
      <c r="X140" s="3" t="s">
        <v>214</v>
      </c>
      <c r="Y140" s="80">
        <v>2017.1</v>
      </c>
      <c r="Z140" s="32">
        <f t="shared" si="86"/>
        <v>1.7</v>
      </c>
      <c r="AA140" s="2">
        <v>0.5</v>
      </c>
      <c r="AB140" s="21">
        <f t="shared" si="87"/>
        <v>12102.599999999999</v>
      </c>
      <c r="AC140" s="2">
        <v>0.2</v>
      </c>
      <c r="AD140" s="21">
        <f t="shared" si="88"/>
        <v>4841.04</v>
      </c>
      <c r="AE140" s="2">
        <v>0.2</v>
      </c>
      <c r="AF140" s="21">
        <f t="shared" si="75"/>
        <v>4841.04</v>
      </c>
      <c r="AG140" s="2">
        <v>0.7</v>
      </c>
      <c r="AH140" s="21">
        <f t="shared" si="89"/>
        <v>16943.64</v>
      </c>
      <c r="AI140" s="2">
        <v>0.1</v>
      </c>
      <c r="AJ140" s="21">
        <f t="shared" si="76"/>
        <v>2420.52</v>
      </c>
      <c r="AK140" s="32">
        <f t="shared" si="90"/>
        <v>0</v>
      </c>
      <c r="AL140" s="190"/>
      <c r="AM140" s="21">
        <f t="shared" si="91"/>
        <v>0</v>
      </c>
      <c r="AN140" s="190"/>
      <c r="AO140" s="21">
        <f t="shared" si="92"/>
        <v>0</v>
      </c>
      <c r="AP140" s="190"/>
      <c r="AQ140" s="21">
        <f t="shared" si="93"/>
        <v>0</v>
      </c>
      <c r="AR140" s="190"/>
      <c r="AS140" s="21">
        <f t="shared" si="94"/>
        <v>0</v>
      </c>
      <c r="AT140" s="190"/>
      <c r="AU140" s="21">
        <f t="shared" si="95"/>
        <v>0</v>
      </c>
      <c r="AV140" s="16"/>
    </row>
    <row r="141" spans="1:48" ht="12.75">
      <c r="A141" s="6">
        <f t="shared" si="50"/>
        <v>81</v>
      </c>
      <c r="B141" s="3" t="s">
        <v>215</v>
      </c>
      <c r="C141" s="168">
        <v>2061.6</v>
      </c>
      <c r="D141" s="5">
        <f t="shared" si="77"/>
        <v>5.26</v>
      </c>
      <c r="E141" s="5"/>
      <c r="F141" s="7">
        <f t="shared" si="74"/>
        <v>3.56</v>
      </c>
      <c r="G141" s="2">
        <v>0.7</v>
      </c>
      <c r="H141" s="2">
        <f t="shared" si="78"/>
        <v>17317.44</v>
      </c>
      <c r="I141" s="2">
        <v>0.56</v>
      </c>
      <c r="J141" s="2">
        <f t="shared" si="79"/>
        <v>13853.952000000001</v>
      </c>
      <c r="K141" s="2"/>
      <c r="L141" s="2">
        <f t="shared" si="80"/>
        <v>0</v>
      </c>
      <c r="M141" s="2">
        <v>2</v>
      </c>
      <c r="N141" s="2">
        <f t="shared" si="81"/>
        <v>49478.399999999994</v>
      </c>
      <c r="O141" s="2"/>
      <c r="P141" s="2">
        <f t="shared" si="82"/>
        <v>0</v>
      </c>
      <c r="Q141" s="2"/>
      <c r="R141" s="2">
        <f t="shared" si="83"/>
        <v>0</v>
      </c>
      <c r="S141" s="2">
        <v>0.2</v>
      </c>
      <c r="T141" s="21">
        <f t="shared" si="84"/>
        <v>4947.84</v>
      </c>
      <c r="U141" s="2">
        <v>0.1</v>
      </c>
      <c r="V141" s="21">
        <f t="shared" si="85"/>
        <v>2473.92</v>
      </c>
      <c r="W141" s="6">
        <f t="shared" si="62"/>
        <v>81</v>
      </c>
      <c r="X141" s="3" t="s">
        <v>215</v>
      </c>
      <c r="Y141" s="168">
        <v>2061.6</v>
      </c>
      <c r="Z141" s="32">
        <f t="shared" si="86"/>
        <v>1.7000000000000002</v>
      </c>
      <c r="AA141" s="2">
        <v>0.5</v>
      </c>
      <c r="AB141" s="21">
        <f t="shared" si="87"/>
        <v>12369.599999999999</v>
      </c>
      <c r="AC141" s="2">
        <v>0.4</v>
      </c>
      <c r="AD141" s="21">
        <f t="shared" si="88"/>
        <v>9895.68</v>
      </c>
      <c r="AE141" s="2">
        <v>0.4</v>
      </c>
      <c r="AF141" s="21">
        <f t="shared" si="75"/>
        <v>9895.68</v>
      </c>
      <c r="AG141" s="2">
        <v>0.3</v>
      </c>
      <c r="AH141" s="21">
        <f t="shared" si="89"/>
        <v>7421.759999999998</v>
      </c>
      <c r="AI141" s="2">
        <v>0.1</v>
      </c>
      <c r="AJ141" s="21">
        <f t="shared" si="76"/>
        <v>2473.92</v>
      </c>
      <c r="AK141" s="32">
        <f t="shared" si="90"/>
        <v>0</v>
      </c>
      <c r="AL141" s="190"/>
      <c r="AM141" s="21">
        <f t="shared" si="91"/>
        <v>0</v>
      </c>
      <c r="AN141" s="190"/>
      <c r="AO141" s="21">
        <f t="shared" si="92"/>
        <v>0</v>
      </c>
      <c r="AP141" s="190"/>
      <c r="AQ141" s="21">
        <f t="shared" si="93"/>
        <v>0</v>
      </c>
      <c r="AR141" s="190"/>
      <c r="AS141" s="21">
        <f t="shared" si="94"/>
        <v>0</v>
      </c>
      <c r="AT141" s="190"/>
      <c r="AU141" s="21">
        <f t="shared" si="95"/>
        <v>0</v>
      </c>
      <c r="AV141" s="16"/>
    </row>
    <row r="142" spans="1:48" ht="12.75">
      <c r="A142" s="6">
        <f t="shared" si="50"/>
        <v>82</v>
      </c>
      <c r="B142" s="3" t="s">
        <v>129</v>
      </c>
      <c r="C142" s="80">
        <v>2039.1</v>
      </c>
      <c r="D142" s="5">
        <f t="shared" si="77"/>
        <v>5.6</v>
      </c>
      <c r="E142" s="5"/>
      <c r="F142" s="7">
        <f t="shared" si="74"/>
        <v>2.4000000000000004</v>
      </c>
      <c r="G142" s="2"/>
      <c r="H142" s="2">
        <f t="shared" si="78"/>
        <v>0</v>
      </c>
      <c r="I142" s="2"/>
      <c r="J142" s="2">
        <f t="shared" si="79"/>
        <v>0</v>
      </c>
      <c r="K142" s="2"/>
      <c r="L142" s="2">
        <f t="shared" si="80"/>
        <v>0</v>
      </c>
      <c r="M142" s="2">
        <v>2.1</v>
      </c>
      <c r="N142" s="2">
        <f t="shared" si="81"/>
        <v>51385.31999999999</v>
      </c>
      <c r="O142" s="2"/>
      <c r="P142" s="2">
        <f t="shared" si="82"/>
        <v>0</v>
      </c>
      <c r="Q142" s="2"/>
      <c r="R142" s="2">
        <f t="shared" si="83"/>
        <v>0</v>
      </c>
      <c r="S142" s="2">
        <v>0.2</v>
      </c>
      <c r="T142" s="21">
        <f t="shared" si="84"/>
        <v>4893.84</v>
      </c>
      <c r="U142" s="2">
        <v>0.1</v>
      </c>
      <c r="V142" s="21">
        <f t="shared" si="85"/>
        <v>2446.92</v>
      </c>
      <c r="W142" s="6">
        <f t="shared" si="62"/>
        <v>82</v>
      </c>
      <c r="X142" s="3" t="s">
        <v>129</v>
      </c>
      <c r="Y142" s="80">
        <v>2039.1</v>
      </c>
      <c r="Z142" s="32">
        <f t="shared" si="86"/>
        <v>0.9</v>
      </c>
      <c r="AA142" s="2"/>
      <c r="AB142" s="21">
        <f t="shared" si="87"/>
        <v>0</v>
      </c>
      <c r="AC142" s="2"/>
      <c r="AD142" s="21">
        <f t="shared" si="88"/>
        <v>0</v>
      </c>
      <c r="AE142" s="2"/>
      <c r="AF142" s="21">
        <f t="shared" si="75"/>
        <v>0</v>
      </c>
      <c r="AG142" s="2">
        <v>0.8</v>
      </c>
      <c r="AH142" s="21">
        <f t="shared" si="89"/>
        <v>19575.36</v>
      </c>
      <c r="AI142" s="2">
        <v>0.1</v>
      </c>
      <c r="AJ142" s="21">
        <f t="shared" si="76"/>
        <v>2446.92</v>
      </c>
      <c r="AK142" s="32">
        <f t="shared" si="90"/>
        <v>2.3</v>
      </c>
      <c r="AL142" s="190"/>
      <c r="AM142" s="21">
        <f t="shared" si="91"/>
        <v>0</v>
      </c>
      <c r="AN142" s="190">
        <v>1.5</v>
      </c>
      <c r="AO142" s="21">
        <f t="shared" si="92"/>
        <v>36703.799999999996</v>
      </c>
      <c r="AP142" s="190"/>
      <c r="AQ142" s="21">
        <f t="shared" si="93"/>
        <v>0</v>
      </c>
      <c r="AR142" s="190"/>
      <c r="AS142" s="21">
        <f t="shared" si="94"/>
        <v>0</v>
      </c>
      <c r="AT142" s="2">
        <v>0.8</v>
      </c>
      <c r="AU142" s="21">
        <f t="shared" si="95"/>
        <v>19575.36</v>
      </c>
      <c r="AV142" s="16"/>
    </row>
    <row r="143" spans="1:48" ht="12.75">
      <c r="A143" s="6">
        <f t="shared" si="50"/>
        <v>83</v>
      </c>
      <c r="B143" s="3" t="s">
        <v>190</v>
      </c>
      <c r="C143" s="80">
        <v>1306.1</v>
      </c>
      <c r="D143" s="5">
        <f t="shared" si="77"/>
        <v>6.16</v>
      </c>
      <c r="E143" s="5"/>
      <c r="F143" s="7">
        <f t="shared" si="74"/>
        <v>4.36</v>
      </c>
      <c r="G143" s="2">
        <v>1.29</v>
      </c>
      <c r="H143" s="2">
        <f t="shared" si="78"/>
        <v>20218.428</v>
      </c>
      <c r="I143" s="2"/>
      <c r="J143" s="2">
        <f t="shared" si="79"/>
        <v>0</v>
      </c>
      <c r="K143" s="2"/>
      <c r="L143" s="2">
        <f t="shared" si="80"/>
        <v>0</v>
      </c>
      <c r="M143" s="2">
        <v>2.52</v>
      </c>
      <c r="N143" s="2">
        <f t="shared" si="81"/>
        <v>39496.464</v>
      </c>
      <c r="O143" s="2">
        <v>0.2</v>
      </c>
      <c r="P143" s="2">
        <f t="shared" si="82"/>
        <v>3134.6399999999994</v>
      </c>
      <c r="Q143" s="2"/>
      <c r="R143" s="2">
        <f t="shared" si="83"/>
        <v>0</v>
      </c>
      <c r="S143" s="2">
        <v>0.2</v>
      </c>
      <c r="T143" s="21">
        <f t="shared" si="84"/>
        <v>3134.6399999999994</v>
      </c>
      <c r="U143" s="2">
        <v>0.15</v>
      </c>
      <c r="V143" s="21">
        <f t="shared" si="85"/>
        <v>2350.98</v>
      </c>
      <c r="W143" s="6">
        <f t="shared" si="62"/>
        <v>83</v>
      </c>
      <c r="X143" s="3" t="s">
        <v>190</v>
      </c>
      <c r="Y143" s="80">
        <v>1306.1</v>
      </c>
      <c r="Z143" s="32">
        <f t="shared" si="86"/>
        <v>1.7999999999999998</v>
      </c>
      <c r="AA143" s="2">
        <v>1</v>
      </c>
      <c r="AB143" s="21">
        <f t="shared" si="87"/>
        <v>15673.199999999999</v>
      </c>
      <c r="AC143" s="2">
        <v>0.15</v>
      </c>
      <c r="AD143" s="21">
        <f t="shared" si="88"/>
        <v>2350.98</v>
      </c>
      <c r="AE143" s="2">
        <v>0.15</v>
      </c>
      <c r="AF143" s="21">
        <f t="shared" si="75"/>
        <v>2350.98</v>
      </c>
      <c r="AG143" s="2">
        <v>0.35</v>
      </c>
      <c r="AH143" s="21">
        <f t="shared" si="89"/>
        <v>5485.619999999999</v>
      </c>
      <c r="AI143" s="2">
        <v>0.15</v>
      </c>
      <c r="AJ143" s="21">
        <f t="shared" si="76"/>
        <v>2350.98</v>
      </c>
      <c r="AK143" s="32">
        <f t="shared" si="90"/>
        <v>0</v>
      </c>
      <c r="AL143" s="6"/>
      <c r="AM143" s="21">
        <f t="shared" si="91"/>
        <v>0</v>
      </c>
      <c r="AN143" s="6"/>
      <c r="AO143" s="21">
        <f t="shared" si="92"/>
        <v>0</v>
      </c>
      <c r="AP143" s="197"/>
      <c r="AQ143" s="21">
        <f t="shared" si="93"/>
        <v>0</v>
      </c>
      <c r="AR143" s="6"/>
      <c r="AS143" s="21">
        <f t="shared" si="94"/>
        <v>0</v>
      </c>
      <c r="AT143" s="6"/>
      <c r="AU143" s="21">
        <f t="shared" si="95"/>
        <v>0</v>
      </c>
      <c r="AV143" s="16"/>
    </row>
    <row r="144" spans="1:48" ht="12.75">
      <c r="A144" s="6">
        <f t="shared" si="50"/>
        <v>84</v>
      </c>
      <c r="B144" s="3" t="s">
        <v>30</v>
      </c>
      <c r="C144" s="80">
        <v>4282.7</v>
      </c>
      <c r="D144" s="5">
        <f t="shared" si="77"/>
        <v>5.99</v>
      </c>
      <c r="E144" s="5"/>
      <c r="F144" s="7">
        <f t="shared" si="74"/>
        <v>1.4100000000000001</v>
      </c>
      <c r="G144" s="2">
        <v>1.1</v>
      </c>
      <c r="H144" s="2">
        <f t="shared" si="78"/>
        <v>56531.64</v>
      </c>
      <c r="I144" s="2"/>
      <c r="J144" s="2">
        <f t="shared" si="79"/>
        <v>0</v>
      </c>
      <c r="K144" s="2"/>
      <c r="L144" s="2">
        <f t="shared" si="80"/>
        <v>0</v>
      </c>
      <c r="M144" s="2"/>
      <c r="N144" s="2">
        <f t="shared" si="81"/>
        <v>0</v>
      </c>
      <c r="O144" s="2"/>
      <c r="P144" s="2">
        <f t="shared" si="82"/>
        <v>0</v>
      </c>
      <c r="Q144" s="2"/>
      <c r="R144" s="2">
        <f t="shared" si="83"/>
        <v>0</v>
      </c>
      <c r="S144" s="2">
        <v>0.2</v>
      </c>
      <c r="T144" s="21">
        <f t="shared" si="84"/>
        <v>10278.48</v>
      </c>
      <c r="U144" s="2">
        <v>0.11</v>
      </c>
      <c r="V144" s="21">
        <f t="shared" si="85"/>
        <v>5653.164</v>
      </c>
      <c r="W144" s="6">
        <f t="shared" si="62"/>
        <v>84</v>
      </c>
      <c r="X144" s="3" t="s">
        <v>30</v>
      </c>
      <c r="Y144" s="80">
        <v>4282.7</v>
      </c>
      <c r="Z144" s="32">
        <f t="shared" si="86"/>
        <v>2.64</v>
      </c>
      <c r="AA144" s="2">
        <v>0.73</v>
      </c>
      <c r="AB144" s="21">
        <f t="shared" si="87"/>
        <v>37516.452</v>
      </c>
      <c r="AC144" s="2">
        <v>0.5</v>
      </c>
      <c r="AD144" s="21">
        <f t="shared" si="88"/>
        <v>25696.199999999997</v>
      </c>
      <c r="AE144" s="2">
        <v>0.5</v>
      </c>
      <c r="AF144" s="21">
        <f>AE144*C144*12</f>
        <v>25696.199999999997</v>
      </c>
      <c r="AG144" s="2">
        <v>0.8</v>
      </c>
      <c r="AH144" s="21">
        <f t="shared" si="89"/>
        <v>41113.92</v>
      </c>
      <c r="AI144" s="2">
        <v>0.11</v>
      </c>
      <c r="AJ144" s="21">
        <f t="shared" si="76"/>
        <v>5653.164</v>
      </c>
      <c r="AK144" s="32">
        <f t="shared" si="90"/>
        <v>1.94</v>
      </c>
      <c r="AL144" s="6"/>
      <c r="AM144" s="21">
        <f t="shared" si="91"/>
        <v>0</v>
      </c>
      <c r="AN144" s="6">
        <v>1.94</v>
      </c>
      <c r="AO144" s="21">
        <f t="shared" si="92"/>
        <v>99701.256</v>
      </c>
      <c r="AP144" s="197"/>
      <c r="AQ144" s="21">
        <f t="shared" si="93"/>
        <v>0</v>
      </c>
      <c r="AR144" s="6"/>
      <c r="AS144" s="21">
        <f t="shared" si="94"/>
        <v>0</v>
      </c>
      <c r="AT144" s="6"/>
      <c r="AU144" s="21">
        <f t="shared" si="95"/>
        <v>0</v>
      </c>
      <c r="AV144" s="16"/>
    </row>
    <row r="145" spans="1:48" ht="12.75">
      <c r="A145" s="6"/>
      <c r="B145" s="25" t="s">
        <v>68</v>
      </c>
      <c r="C145" s="175">
        <f>SUM(C146:C191)</f>
        <v>136958.51</v>
      </c>
      <c r="D145" s="5"/>
      <c r="E145" s="5"/>
      <c r="F145" s="26"/>
      <c r="G145" s="26">
        <f>H145/C145/12</f>
        <v>0.5779457516002474</v>
      </c>
      <c r="H145" s="24">
        <f>SUM(H146:H191)</f>
        <v>949855.0680000002</v>
      </c>
      <c r="I145" s="26">
        <f>J145/C145/12</f>
        <v>0.31974219053638936</v>
      </c>
      <c r="J145" s="24">
        <f>SUM(J146:J191)</f>
        <v>525496.9679999999</v>
      </c>
      <c r="K145" s="26">
        <f>L145/C145/12</f>
        <v>0.013332358828962143</v>
      </c>
      <c r="L145" s="24">
        <f>SUM(L146:L191)</f>
        <v>21911.76</v>
      </c>
      <c r="M145" s="26">
        <f>N145/C145/12</f>
        <v>0.5741609630537013</v>
      </c>
      <c r="N145" s="24">
        <f>SUM(N146:N191)</f>
        <v>943634.7599999999</v>
      </c>
      <c r="O145" s="26">
        <f>P145/C145/12</f>
        <v>0.13773040463130035</v>
      </c>
      <c r="P145" s="24">
        <f>SUM(P146:P191)</f>
        <v>226360.21199999994</v>
      </c>
      <c r="Q145" s="26">
        <f>R145/C145/12</f>
        <v>0.040659120050298446</v>
      </c>
      <c r="R145" s="24">
        <f>SUM(R146:R191)</f>
        <v>66823.35</v>
      </c>
      <c r="S145" s="26">
        <f>T145/C145/12</f>
        <v>0.12659999440706532</v>
      </c>
      <c r="T145" s="24">
        <f>SUM(T146:T191)</f>
        <v>208067.3592</v>
      </c>
      <c r="U145" s="26">
        <f>V145/C145/12</f>
        <v>0.13328599296239427</v>
      </c>
      <c r="V145" s="26">
        <f>SUM(V146:V191)</f>
        <v>219055.81200000006</v>
      </c>
      <c r="W145" s="6"/>
      <c r="X145" s="25" t="s">
        <v>68</v>
      </c>
      <c r="Y145" s="175">
        <f>SUM(Y146:Y191)</f>
        <v>136958.51</v>
      </c>
      <c r="Z145" s="32">
        <f t="shared" si="86"/>
        <v>2.479310531099284</v>
      </c>
      <c r="AA145" s="26">
        <f>AB145/C145/12</f>
        <v>0.6232171492422532</v>
      </c>
      <c r="AB145" s="26">
        <f>SUM(AB146:AB191)</f>
        <v>1024258.7059999998</v>
      </c>
      <c r="AC145" s="26">
        <f>AD145/C145/12</f>
        <v>0.6851715968580555</v>
      </c>
      <c r="AD145" s="26">
        <f>SUM(AD146:AD191)</f>
        <v>1126080.9719999996</v>
      </c>
      <c r="AE145" s="26">
        <f>AF145/C145/12</f>
        <v>0.6449511388521968</v>
      </c>
      <c r="AF145" s="26">
        <f>SUM(AF146:AF191)</f>
        <v>1059978.5639999998</v>
      </c>
      <c r="AG145" s="26">
        <f>AH145/C145/12</f>
        <v>0.37176981554486827</v>
      </c>
      <c r="AH145" s="26">
        <f>SUM(AH146:AH191)</f>
        <v>611004.48</v>
      </c>
      <c r="AI145" s="26">
        <f>AJ145/C145/12</f>
        <v>0.15420083060191006</v>
      </c>
      <c r="AJ145" s="26">
        <f>SUM(AJ146:AJ191)</f>
        <v>253429.39200000008</v>
      </c>
      <c r="AK145" s="32">
        <f>SUM(AL145:AT145)</f>
        <v>1011754.655336368</v>
      </c>
      <c r="AL145" s="26">
        <f>AM145/C145/12</f>
        <v>0.06445672488697489</v>
      </c>
      <c r="AM145" s="26">
        <f>SUM(AM146:AM191)</f>
        <v>105934.76400000001</v>
      </c>
      <c r="AN145" s="26">
        <f>AO145/C145/12</f>
        <v>0.410523157706666</v>
      </c>
      <c r="AO145" s="26">
        <f>SUM(AO146:AO191)</f>
        <v>674695.6799999999</v>
      </c>
      <c r="AP145" s="200">
        <f>AQ145/C145/12</f>
        <v>0.013930788236525061</v>
      </c>
      <c r="AQ145" s="26">
        <f>SUM(AQ146:AQ191)</f>
        <v>22895.28</v>
      </c>
      <c r="AR145" s="26">
        <f>AS145/C145/12</f>
        <v>0.12669781527266907</v>
      </c>
      <c r="AS145" s="26">
        <f>SUM(AS146:AS191)</f>
        <v>208228.128</v>
      </c>
      <c r="AT145" s="26">
        <f>AU145/C145/12</f>
        <v>0.18772788196951032</v>
      </c>
      <c r="AU145" s="26">
        <f>SUM(AU146:AU191)</f>
        <v>308531.172</v>
      </c>
      <c r="AV145" s="16"/>
    </row>
    <row r="146" spans="1:48" ht="12.75">
      <c r="A146" s="6">
        <v>1</v>
      </c>
      <c r="B146" s="3" t="s">
        <v>224</v>
      </c>
      <c r="C146" s="43">
        <v>2644.2</v>
      </c>
      <c r="D146" s="5">
        <f t="shared" si="77"/>
        <v>5.299999999999999</v>
      </c>
      <c r="E146" s="5"/>
      <c r="F146" s="7">
        <f aca="true" t="shared" si="96" ref="F146:F163">G146+I146+K146+M146+O146+Q146+S146+U146</f>
        <v>1.6700000000000002</v>
      </c>
      <c r="G146" s="2">
        <v>0.8</v>
      </c>
      <c r="H146" s="2">
        <f aca="true" t="shared" si="97" ref="H146:H191">G146*C146*12</f>
        <v>25384.32</v>
      </c>
      <c r="I146" s="2"/>
      <c r="J146" s="2">
        <f aca="true" t="shared" si="98" ref="J146:J191">I146*C146*12</f>
        <v>0</v>
      </c>
      <c r="K146" s="2"/>
      <c r="L146" s="2">
        <f aca="true" t="shared" si="99" ref="L146:L191">K146*C146*12</f>
        <v>0</v>
      </c>
      <c r="M146" s="2">
        <v>0.55</v>
      </c>
      <c r="N146" s="2">
        <f aca="true" t="shared" si="100" ref="N146:N191">M146*C146*12</f>
        <v>17451.72</v>
      </c>
      <c r="O146" s="2"/>
      <c r="P146" s="2">
        <f aca="true" t="shared" si="101" ref="P146:P191">O146*C146*12</f>
        <v>0</v>
      </c>
      <c r="Q146" s="2"/>
      <c r="R146" s="2">
        <f aca="true" t="shared" si="102" ref="R146:R191">Q146*C146*12</f>
        <v>0</v>
      </c>
      <c r="S146" s="21">
        <v>0.07</v>
      </c>
      <c r="T146" s="21">
        <f aca="true" t="shared" si="103" ref="T146:T191">S146*C146*12</f>
        <v>2221.1279999999997</v>
      </c>
      <c r="U146" s="21">
        <v>0.25</v>
      </c>
      <c r="V146" s="21">
        <f t="shared" si="85"/>
        <v>7932.599999999999</v>
      </c>
      <c r="W146" s="6">
        <v>1</v>
      </c>
      <c r="X146" s="3" t="s">
        <v>224</v>
      </c>
      <c r="Y146" s="43">
        <v>2644.2</v>
      </c>
      <c r="Z146" s="32">
        <f t="shared" si="86"/>
        <v>2.0199999999999996</v>
      </c>
      <c r="AA146" s="21">
        <v>0.6</v>
      </c>
      <c r="AB146" s="21">
        <f aca="true" t="shared" si="104" ref="AB146:AB191">AA146*C146*12</f>
        <v>19038.239999999998</v>
      </c>
      <c r="AC146" s="21">
        <v>0.3</v>
      </c>
      <c r="AD146" s="21">
        <f aca="true" t="shared" si="105" ref="AD146:AD191">AC146*C146*12</f>
        <v>9519.119999999999</v>
      </c>
      <c r="AE146" s="21">
        <v>0.42</v>
      </c>
      <c r="AF146" s="21">
        <f aca="true" t="shared" si="106" ref="AF146:AF191">AE146*C146*12</f>
        <v>13326.767999999998</v>
      </c>
      <c r="AG146" s="21">
        <v>0.2</v>
      </c>
      <c r="AH146" s="21">
        <f aca="true" t="shared" si="107" ref="AH146:AH191">AG146*C146*12</f>
        <v>6346.08</v>
      </c>
      <c r="AI146" s="21">
        <v>0.5</v>
      </c>
      <c r="AJ146" s="21">
        <f t="shared" si="76"/>
        <v>15865.199999999999</v>
      </c>
      <c r="AK146" s="32">
        <f t="shared" si="90"/>
        <v>1.6099999999999999</v>
      </c>
      <c r="AL146" s="7">
        <v>0.2</v>
      </c>
      <c r="AM146" s="21">
        <f aca="true" t="shared" si="108" ref="AM146:AM191">AL146*C146*12</f>
        <v>6346.08</v>
      </c>
      <c r="AN146" s="6">
        <v>1.41</v>
      </c>
      <c r="AO146" s="21">
        <f aca="true" t="shared" si="109" ref="AO146:AO191">AN146*C146*12</f>
        <v>44739.863999999994</v>
      </c>
      <c r="AP146" s="7"/>
      <c r="AQ146" s="21">
        <f aca="true" t="shared" si="110" ref="AQ146:AQ190">AP146*C146*12</f>
        <v>0</v>
      </c>
      <c r="AR146" s="7"/>
      <c r="AS146" s="21">
        <f aca="true" t="shared" si="111" ref="AS146:AS191">AR146*C146*12</f>
        <v>0</v>
      </c>
      <c r="AT146" s="7"/>
      <c r="AU146" s="21">
        <f t="shared" si="95"/>
        <v>0</v>
      </c>
      <c r="AV146" s="16"/>
    </row>
    <row r="147" spans="1:48" ht="12.75">
      <c r="A147" s="6">
        <f aca="true" t="shared" si="112" ref="A147:A154">A146+1</f>
        <v>2</v>
      </c>
      <c r="B147" s="3" t="s">
        <v>69</v>
      </c>
      <c r="C147" s="80">
        <v>2139.1</v>
      </c>
      <c r="D147" s="5">
        <f t="shared" si="77"/>
        <v>5.01</v>
      </c>
      <c r="E147" s="5"/>
      <c r="F147" s="7">
        <f t="shared" si="96"/>
        <v>1.09</v>
      </c>
      <c r="G147" s="2">
        <v>0.9</v>
      </c>
      <c r="H147" s="2">
        <f t="shared" si="97"/>
        <v>23102.28</v>
      </c>
      <c r="I147" s="2"/>
      <c r="J147" s="2">
        <f t="shared" si="98"/>
        <v>0</v>
      </c>
      <c r="K147" s="2"/>
      <c r="L147" s="2">
        <f t="shared" si="99"/>
        <v>0</v>
      </c>
      <c r="M147" s="2">
        <v>0.05</v>
      </c>
      <c r="N147" s="2">
        <f t="shared" si="100"/>
        <v>1283.46</v>
      </c>
      <c r="O147" s="2"/>
      <c r="P147" s="2">
        <f t="shared" si="101"/>
        <v>0</v>
      </c>
      <c r="Q147" s="2"/>
      <c r="R147" s="2">
        <f t="shared" si="102"/>
        <v>0</v>
      </c>
      <c r="S147" s="2">
        <v>0.04</v>
      </c>
      <c r="T147" s="21">
        <f t="shared" si="103"/>
        <v>1026.768</v>
      </c>
      <c r="U147" s="21">
        <v>0.1</v>
      </c>
      <c r="V147" s="21">
        <f t="shared" si="85"/>
        <v>2566.92</v>
      </c>
      <c r="W147" s="6">
        <f aca="true" t="shared" si="113" ref="W147:W154">W146+1</f>
        <v>2</v>
      </c>
      <c r="X147" s="3" t="s">
        <v>69</v>
      </c>
      <c r="Y147" s="80">
        <v>2139.1</v>
      </c>
      <c r="Z147" s="32">
        <f t="shared" si="86"/>
        <v>2.62</v>
      </c>
      <c r="AA147" s="21">
        <v>0.8</v>
      </c>
      <c r="AB147" s="21">
        <f t="shared" si="104"/>
        <v>20535.36</v>
      </c>
      <c r="AC147" s="21">
        <v>0.6</v>
      </c>
      <c r="AD147" s="21">
        <f t="shared" si="105"/>
        <v>15401.519999999997</v>
      </c>
      <c r="AE147" s="21">
        <v>0.72</v>
      </c>
      <c r="AF147" s="21">
        <f t="shared" si="106"/>
        <v>18481.823999999997</v>
      </c>
      <c r="AG147" s="21">
        <v>0.3</v>
      </c>
      <c r="AH147" s="21">
        <f t="shared" si="107"/>
        <v>7700.759999999998</v>
      </c>
      <c r="AI147" s="21">
        <v>0.2</v>
      </c>
      <c r="AJ147" s="21">
        <f t="shared" si="76"/>
        <v>5133.84</v>
      </c>
      <c r="AK147" s="32">
        <f t="shared" si="90"/>
        <v>1.3</v>
      </c>
      <c r="AL147" s="7">
        <v>0.8</v>
      </c>
      <c r="AM147" s="21">
        <f t="shared" si="108"/>
        <v>20535.36</v>
      </c>
      <c r="AN147" s="7"/>
      <c r="AO147" s="21">
        <f>AN147*C147*12</f>
        <v>0</v>
      </c>
      <c r="AP147" s="7"/>
      <c r="AQ147" s="21">
        <f t="shared" si="110"/>
        <v>0</v>
      </c>
      <c r="AR147" s="7"/>
      <c r="AS147" s="21">
        <f t="shared" si="111"/>
        <v>0</v>
      </c>
      <c r="AT147" s="7">
        <v>0.5</v>
      </c>
      <c r="AU147" s="21">
        <f t="shared" si="95"/>
        <v>12834.599999999999</v>
      </c>
      <c r="AV147" s="16"/>
    </row>
    <row r="148" spans="1:48" ht="12.75">
      <c r="A148" s="6">
        <f t="shared" si="112"/>
        <v>3</v>
      </c>
      <c r="B148" s="3" t="s">
        <v>70</v>
      </c>
      <c r="C148" s="168">
        <v>3534.8</v>
      </c>
      <c r="D148" s="5">
        <f t="shared" si="77"/>
        <v>5.84</v>
      </c>
      <c r="E148" s="5"/>
      <c r="F148" s="7">
        <f t="shared" si="96"/>
        <v>0.67</v>
      </c>
      <c r="G148" s="2">
        <v>0.35</v>
      </c>
      <c r="H148" s="2">
        <f t="shared" si="97"/>
        <v>14846.16</v>
      </c>
      <c r="I148" s="2"/>
      <c r="J148" s="2">
        <f t="shared" si="98"/>
        <v>0</v>
      </c>
      <c r="K148" s="2"/>
      <c r="L148" s="2">
        <f t="shared" si="99"/>
        <v>0</v>
      </c>
      <c r="M148" s="2">
        <v>0.2</v>
      </c>
      <c r="N148" s="2">
        <f t="shared" si="100"/>
        <v>8483.52</v>
      </c>
      <c r="O148" s="2"/>
      <c r="P148" s="2">
        <f t="shared" si="101"/>
        <v>0</v>
      </c>
      <c r="Q148" s="2"/>
      <c r="R148" s="2">
        <f t="shared" si="102"/>
        <v>0</v>
      </c>
      <c r="S148" s="2">
        <v>0.02</v>
      </c>
      <c r="T148" s="21">
        <f t="shared" si="103"/>
        <v>848.3520000000001</v>
      </c>
      <c r="U148" s="21">
        <v>0.1</v>
      </c>
      <c r="V148" s="21">
        <f t="shared" si="85"/>
        <v>4241.76</v>
      </c>
      <c r="W148" s="6">
        <f t="shared" si="113"/>
        <v>3</v>
      </c>
      <c r="X148" s="3" t="s">
        <v>70</v>
      </c>
      <c r="Y148" s="168">
        <v>3534.8</v>
      </c>
      <c r="Z148" s="32">
        <f t="shared" si="86"/>
        <v>4.7</v>
      </c>
      <c r="AA148" s="21">
        <v>1</v>
      </c>
      <c r="AB148" s="21">
        <f t="shared" si="104"/>
        <v>42417.600000000006</v>
      </c>
      <c r="AC148" s="21">
        <v>1.6</v>
      </c>
      <c r="AD148" s="21">
        <f t="shared" si="105"/>
        <v>67868.16</v>
      </c>
      <c r="AE148" s="21">
        <v>1.6</v>
      </c>
      <c r="AF148" s="21">
        <f t="shared" si="106"/>
        <v>67868.16</v>
      </c>
      <c r="AG148" s="21">
        <v>0.4</v>
      </c>
      <c r="AH148" s="21">
        <f t="shared" si="107"/>
        <v>16967.04</v>
      </c>
      <c r="AI148" s="21">
        <v>0.1</v>
      </c>
      <c r="AJ148" s="21">
        <f t="shared" si="76"/>
        <v>4241.76</v>
      </c>
      <c r="AK148" s="32">
        <f t="shared" si="90"/>
        <v>0.47</v>
      </c>
      <c r="AL148" s="7"/>
      <c r="AM148" s="21">
        <f t="shared" si="108"/>
        <v>0</v>
      </c>
      <c r="AN148" s="6">
        <v>0.47</v>
      </c>
      <c r="AO148" s="21">
        <f t="shared" si="109"/>
        <v>19936.272</v>
      </c>
      <c r="AP148" s="7"/>
      <c r="AQ148" s="21">
        <f t="shared" si="110"/>
        <v>0</v>
      </c>
      <c r="AR148" s="7"/>
      <c r="AS148" s="21">
        <f t="shared" si="111"/>
        <v>0</v>
      </c>
      <c r="AT148" s="7"/>
      <c r="AU148" s="21">
        <f t="shared" si="95"/>
        <v>0</v>
      </c>
      <c r="AV148" s="16"/>
    </row>
    <row r="149" spans="1:48" ht="12.75">
      <c r="A149" s="6">
        <f t="shared" si="112"/>
        <v>4</v>
      </c>
      <c r="B149" s="3" t="s">
        <v>71</v>
      </c>
      <c r="C149" s="168">
        <v>2706.4</v>
      </c>
      <c r="D149" s="5">
        <f t="shared" si="77"/>
        <v>5.24</v>
      </c>
      <c r="E149" s="5"/>
      <c r="F149" s="7">
        <f t="shared" si="96"/>
        <v>2.4400000000000004</v>
      </c>
      <c r="G149" s="2">
        <v>0.2</v>
      </c>
      <c r="H149" s="2">
        <f t="shared" si="97"/>
        <v>6495.360000000001</v>
      </c>
      <c r="I149" s="2"/>
      <c r="J149" s="2">
        <f t="shared" si="98"/>
        <v>0</v>
      </c>
      <c r="K149" s="2"/>
      <c r="L149" s="2">
        <f t="shared" si="99"/>
        <v>0</v>
      </c>
      <c r="M149" s="2">
        <v>2.1</v>
      </c>
      <c r="N149" s="2">
        <f t="shared" si="100"/>
        <v>68201.28</v>
      </c>
      <c r="O149" s="2"/>
      <c r="P149" s="2">
        <f t="shared" si="101"/>
        <v>0</v>
      </c>
      <c r="Q149" s="2"/>
      <c r="R149" s="2">
        <f t="shared" si="102"/>
        <v>0</v>
      </c>
      <c r="S149" s="2">
        <v>0.04</v>
      </c>
      <c r="T149" s="21">
        <f t="shared" si="103"/>
        <v>1299.0720000000001</v>
      </c>
      <c r="U149" s="21">
        <v>0.1</v>
      </c>
      <c r="V149" s="21">
        <f t="shared" si="85"/>
        <v>3247.6800000000003</v>
      </c>
      <c r="W149" s="6">
        <f t="shared" si="113"/>
        <v>4</v>
      </c>
      <c r="X149" s="3" t="s">
        <v>71</v>
      </c>
      <c r="Y149" s="168">
        <v>2706.4</v>
      </c>
      <c r="Z149" s="32">
        <f t="shared" si="86"/>
        <v>2.1999999999999997</v>
      </c>
      <c r="AA149" s="21">
        <v>0.6</v>
      </c>
      <c r="AB149" s="21">
        <f t="shared" si="104"/>
        <v>19486.079999999998</v>
      </c>
      <c r="AC149" s="21">
        <v>0.6</v>
      </c>
      <c r="AD149" s="21">
        <f t="shared" si="105"/>
        <v>19486.079999999998</v>
      </c>
      <c r="AE149" s="21">
        <v>0.6</v>
      </c>
      <c r="AF149" s="21">
        <f t="shared" si="106"/>
        <v>19486.079999999998</v>
      </c>
      <c r="AG149" s="21">
        <v>0.3</v>
      </c>
      <c r="AH149" s="21">
        <f t="shared" si="107"/>
        <v>9743.039999999999</v>
      </c>
      <c r="AI149" s="21">
        <v>0.1</v>
      </c>
      <c r="AJ149" s="21">
        <f t="shared" si="76"/>
        <v>3247.6800000000003</v>
      </c>
      <c r="AK149" s="32">
        <f t="shared" si="90"/>
        <v>0.6</v>
      </c>
      <c r="AL149" s="7"/>
      <c r="AM149" s="21">
        <f t="shared" si="108"/>
        <v>0</v>
      </c>
      <c r="AN149" s="6"/>
      <c r="AO149" s="21">
        <f t="shared" si="109"/>
        <v>0</v>
      </c>
      <c r="AP149" s="7"/>
      <c r="AQ149" s="21">
        <f t="shared" si="110"/>
        <v>0</v>
      </c>
      <c r="AR149" s="7"/>
      <c r="AS149" s="21">
        <f t="shared" si="111"/>
        <v>0</v>
      </c>
      <c r="AT149" s="7">
        <v>0.6</v>
      </c>
      <c r="AU149" s="21">
        <f t="shared" si="95"/>
        <v>19486.079999999998</v>
      </c>
      <c r="AV149" s="16"/>
    </row>
    <row r="150" spans="1:48" ht="12.75">
      <c r="A150" s="6">
        <f t="shared" si="112"/>
        <v>5</v>
      </c>
      <c r="B150" s="3" t="s">
        <v>72</v>
      </c>
      <c r="C150" s="80">
        <v>3071.5</v>
      </c>
      <c r="D150" s="5">
        <f t="shared" si="77"/>
        <v>4.48</v>
      </c>
      <c r="E150" s="5"/>
      <c r="F150" s="7">
        <f t="shared" si="96"/>
        <v>1.3000000000000003</v>
      </c>
      <c r="G150" s="2">
        <v>0.5</v>
      </c>
      <c r="H150" s="2">
        <f t="shared" si="97"/>
        <v>18429</v>
      </c>
      <c r="I150" s="2">
        <v>0.2</v>
      </c>
      <c r="J150" s="2">
        <f t="shared" si="98"/>
        <v>7371.6</v>
      </c>
      <c r="K150" s="2"/>
      <c r="L150" s="2">
        <f t="shared" si="99"/>
        <v>0</v>
      </c>
      <c r="M150" s="2">
        <v>0.4</v>
      </c>
      <c r="N150" s="2">
        <f t="shared" si="100"/>
        <v>14743.2</v>
      </c>
      <c r="O150" s="2"/>
      <c r="P150" s="2">
        <f t="shared" si="101"/>
        <v>0</v>
      </c>
      <c r="Q150" s="2"/>
      <c r="R150" s="2">
        <f t="shared" si="102"/>
        <v>0</v>
      </c>
      <c r="S150" s="2">
        <v>0.1</v>
      </c>
      <c r="T150" s="21">
        <f t="shared" si="103"/>
        <v>3685.8</v>
      </c>
      <c r="U150" s="21">
        <v>0.1</v>
      </c>
      <c r="V150" s="21">
        <f t="shared" si="85"/>
        <v>3685.8</v>
      </c>
      <c r="W150" s="6">
        <f t="shared" si="113"/>
        <v>5</v>
      </c>
      <c r="X150" s="3" t="s">
        <v>72</v>
      </c>
      <c r="Y150" s="80">
        <v>3071.5</v>
      </c>
      <c r="Z150" s="32">
        <f t="shared" si="86"/>
        <v>2.6200000000000006</v>
      </c>
      <c r="AA150" s="21">
        <v>0.8</v>
      </c>
      <c r="AB150" s="21">
        <f t="shared" si="104"/>
        <v>29486.4</v>
      </c>
      <c r="AC150" s="21">
        <v>0.8</v>
      </c>
      <c r="AD150" s="21">
        <f t="shared" si="105"/>
        <v>29486.4</v>
      </c>
      <c r="AE150" s="21">
        <v>0.8</v>
      </c>
      <c r="AF150" s="21">
        <f t="shared" si="106"/>
        <v>29486.4</v>
      </c>
      <c r="AG150" s="21">
        <v>0.12</v>
      </c>
      <c r="AH150" s="21">
        <f t="shared" si="107"/>
        <v>4422.96</v>
      </c>
      <c r="AI150" s="21">
        <v>0.1</v>
      </c>
      <c r="AJ150" s="21">
        <f t="shared" si="76"/>
        <v>3685.8</v>
      </c>
      <c r="AK150" s="32">
        <f t="shared" si="90"/>
        <v>0.56</v>
      </c>
      <c r="AL150" s="7">
        <v>0.2</v>
      </c>
      <c r="AM150" s="21">
        <f t="shared" si="108"/>
        <v>7371.6</v>
      </c>
      <c r="AN150" s="6"/>
      <c r="AO150" s="21">
        <f t="shared" si="109"/>
        <v>0</v>
      </c>
      <c r="AP150" s="7"/>
      <c r="AQ150" s="21">
        <f t="shared" si="110"/>
        <v>0</v>
      </c>
      <c r="AR150" s="7">
        <v>0.36</v>
      </c>
      <c r="AS150" s="21">
        <f t="shared" si="111"/>
        <v>13268.880000000001</v>
      </c>
      <c r="AT150" s="7"/>
      <c r="AU150" s="21">
        <f t="shared" si="95"/>
        <v>0</v>
      </c>
      <c r="AV150" s="16"/>
    </row>
    <row r="151" spans="1:48" ht="12.75">
      <c r="A151" s="6">
        <f t="shared" si="112"/>
        <v>6</v>
      </c>
      <c r="B151" s="3" t="s">
        <v>73</v>
      </c>
      <c r="C151" s="80">
        <v>2034.4</v>
      </c>
      <c r="D151" s="5">
        <f t="shared" si="77"/>
        <v>6.180000000000001</v>
      </c>
      <c r="E151" s="5"/>
      <c r="F151" s="7">
        <f t="shared" si="96"/>
        <v>2.5500000000000003</v>
      </c>
      <c r="G151" s="2">
        <v>0.2</v>
      </c>
      <c r="H151" s="2">
        <f t="shared" si="97"/>
        <v>4882.56</v>
      </c>
      <c r="I151" s="2"/>
      <c r="J151" s="2">
        <f t="shared" si="98"/>
        <v>0</v>
      </c>
      <c r="K151" s="2"/>
      <c r="L151" s="2">
        <f t="shared" si="99"/>
        <v>0</v>
      </c>
      <c r="M151" s="2">
        <v>2.2</v>
      </c>
      <c r="N151" s="2">
        <f t="shared" si="100"/>
        <v>53708.16</v>
      </c>
      <c r="O151" s="2"/>
      <c r="P151" s="2">
        <f t="shared" si="101"/>
        <v>0</v>
      </c>
      <c r="Q151" s="2"/>
      <c r="R151" s="2">
        <f t="shared" si="102"/>
        <v>0</v>
      </c>
      <c r="S151" s="2">
        <v>0.05</v>
      </c>
      <c r="T151" s="21">
        <f t="shared" si="103"/>
        <v>1220.64</v>
      </c>
      <c r="U151" s="21">
        <v>0.1</v>
      </c>
      <c r="V151" s="21">
        <f t="shared" si="85"/>
        <v>2441.28</v>
      </c>
      <c r="W151" s="6">
        <f t="shared" si="113"/>
        <v>6</v>
      </c>
      <c r="X151" s="3" t="s">
        <v>73</v>
      </c>
      <c r="Y151" s="80">
        <v>2034.4</v>
      </c>
      <c r="Z151" s="32">
        <f t="shared" si="86"/>
        <v>3.41</v>
      </c>
      <c r="AA151" s="21">
        <v>0.9</v>
      </c>
      <c r="AB151" s="21">
        <f t="shared" si="104"/>
        <v>21971.52</v>
      </c>
      <c r="AC151" s="21">
        <v>1</v>
      </c>
      <c r="AD151" s="21">
        <f t="shared" si="105"/>
        <v>24412.800000000003</v>
      </c>
      <c r="AE151" s="21">
        <v>1.01</v>
      </c>
      <c r="AF151" s="21">
        <f t="shared" si="106"/>
        <v>24656.928</v>
      </c>
      <c r="AG151" s="21">
        <v>0.4</v>
      </c>
      <c r="AH151" s="21">
        <f t="shared" si="107"/>
        <v>9765.12</v>
      </c>
      <c r="AI151" s="21">
        <v>0.1</v>
      </c>
      <c r="AJ151" s="21">
        <f t="shared" si="76"/>
        <v>2441.28</v>
      </c>
      <c r="AK151" s="32">
        <f t="shared" si="90"/>
        <v>0.22</v>
      </c>
      <c r="AL151" s="7">
        <v>0.22</v>
      </c>
      <c r="AM151" s="21">
        <f t="shared" si="108"/>
        <v>5370.816000000001</v>
      </c>
      <c r="AN151" s="6"/>
      <c r="AO151" s="21">
        <f t="shared" si="109"/>
        <v>0</v>
      </c>
      <c r="AP151" s="7"/>
      <c r="AQ151" s="21">
        <f t="shared" si="110"/>
        <v>0</v>
      </c>
      <c r="AR151" s="7"/>
      <c r="AS151" s="21">
        <f t="shared" si="111"/>
        <v>0</v>
      </c>
      <c r="AT151" s="7"/>
      <c r="AU151" s="21">
        <f t="shared" si="95"/>
        <v>0</v>
      </c>
      <c r="AV151" s="16"/>
    </row>
    <row r="152" spans="1:48" ht="12.75">
      <c r="A152" s="6">
        <f t="shared" si="112"/>
        <v>7</v>
      </c>
      <c r="B152" s="3" t="s">
        <v>74</v>
      </c>
      <c r="C152" s="80">
        <v>5114.4</v>
      </c>
      <c r="D152" s="5">
        <f t="shared" si="77"/>
        <v>5.5</v>
      </c>
      <c r="E152" s="5"/>
      <c r="F152" s="7">
        <f t="shared" si="96"/>
        <v>0.72</v>
      </c>
      <c r="G152" s="2">
        <v>0.34</v>
      </c>
      <c r="H152" s="2">
        <f t="shared" si="97"/>
        <v>20866.752</v>
      </c>
      <c r="I152" s="2">
        <v>0.15</v>
      </c>
      <c r="J152" s="2">
        <f t="shared" si="98"/>
        <v>9205.92</v>
      </c>
      <c r="K152" s="2"/>
      <c r="L152" s="2">
        <f t="shared" si="99"/>
        <v>0</v>
      </c>
      <c r="M152" s="2">
        <v>0.05</v>
      </c>
      <c r="N152" s="2">
        <f t="shared" si="100"/>
        <v>3068.64</v>
      </c>
      <c r="O152" s="2"/>
      <c r="P152" s="2">
        <f t="shared" si="101"/>
        <v>0</v>
      </c>
      <c r="Q152" s="2"/>
      <c r="R152" s="2">
        <f t="shared" si="102"/>
        <v>0</v>
      </c>
      <c r="S152" s="2">
        <v>0.08</v>
      </c>
      <c r="T152" s="21">
        <f t="shared" si="103"/>
        <v>4909.824</v>
      </c>
      <c r="U152" s="21">
        <v>0.1</v>
      </c>
      <c r="V152" s="21">
        <f t="shared" si="85"/>
        <v>6137.28</v>
      </c>
      <c r="W152" s="6">
        <f t="shared" si="113"/>
        <v>7</v>
      </c>
      <c r="X152" s="3" t="s">
        <v>74</v>
      </c>
      <c r="Y152" s="80">
        <v>5114.4</v>
      </c>
      <c r="Z152" s="32">
        <f t="shared" si="86"/>
        <v>3.07</v>
      </c>
      <c r="AA152" s="21">
        <v>0.82</v>
      </c>
      <c r="AB152" s="21">
        <f t="shared" si="104"/>
        <v>50325.69599999999</v>
      </c>
      <c r="AC152" s="21">
        <v>0.85</v>
      </c>
      <c r="AD152" s="21">
        <f t="shared" si="105"/>
        <v>52166.88</v>
      </c>
      <c r="AE152" s="21">
        <v>0.9</v>
      </c>
      <c r="AF152" s="21">
        <f t="shared" si="106"/>
        <v>55235.520000000004</v>
      </c>
      <c r="AG152" s="21">
        <v>0.4</v>
      </c>
      <c r="AH152" s="21">
        <f t="shared" si="107"/>
        <v>24549.12</v>
      </c>
      <c r="AI152" s="21">
        <v>0.1</v>
      </c>
      <c r="AJ152" s="21">
        <f t="shared" si="76"/>
        <v>6137.28</v>
      </c>
      <c r="AK152" s="32">
        <f t="shared" si="90"/>
        <v>1.71</v>
      </c>
      <c r="AL152" s="7">
        <v>0.09</v>
      </c>
      <c r="AM152" s="21">
        <f t="shared" si="108"/>
        <v>5523.552</v>
      </c>
      <c r="AN152" s="6">
        <v>1.4</v>
      </c>
      <c r="AO152" s="21">
        <f t="shared" si="109"/>
        <v>85921.91999999998</v>
      </c>
      <c r="AP152" s="7"/>
      <c r="AQ152" s="21">
        <f t="shared" si="110"/>
        <v>0</v>
      </c>
      <c r="AR152" s="7">
        <v>0.22</v>
      </c>
      <c r="AS152" s="21">
        <f t="shared" si="111"/>
        <v>13502.016</v>
      </c>
      <c r="AT152" s="7"/>
      <c r="AU152" s="21">
        <f t="shared" si="95"/>
        <v>0</v>
      </c>
      <c r="AV152" s="16"/>
    </row>
    <row r="153" spans="1:48" ht="12.75">
      <c r="A153" s="6">
        <f t="shared" si="112"/>
        <v>8</v>
      </c>
      <c r="B153" s="3" t="s">
        <v>75</v>
      </c>
      <c r="C153" s="80">
        <v>4214.7</v>
      </c>
      <c r="D153" s="5">
        <f t="shared" si="77"/>
        <v>5.32</v>
      </c>
      <c r="E153" s="5"/>
      <c r="F153" s="7">
        <f t="shared" si="96"/>
        <v>1.54</v>
      </c>
      <c r="G153" s="2">
        <v>0.4</v>
      </c>
      <c r="H153" s="2">
        <f t="shared" si="97"/>
        <v>20230.56</v>
      </c>
      <c r="I153" s="2">
        <v>0.6</v>
      </c>
      <c r="J153" s="2">
        <f t="shared" si="98"/>
        <v>30345.839999999997</v>
      </c>
      <c r="K153" s="2"/>
      <c r="L153" s="2">
        <f t="shared" si="99"/>
        <v>0</v>
      </c>
      <c r="M153" s="2">
        <v>0.4</v>
      </c>
      <c r="N153" s="2">
        <f t="shared" si="100"/>
        <v>20230.56</v>
      </c>
      <c r="O153" s="2"/>
      <c r="P153" s="2">
        <f t="shared" si="101"/>
        <v>0</v>
      </c>
      <c r="Q153" s="2"/>
      <c r="R153" s="2">
        <f t="shared" si="102"/>
        <v>0</v>
      </c>
      <c r="S153" s="2">
        <v>0.04</v>
      </c>
      <c r="T153" s="21">
        <f t="shared" si="103"/>
        <v>2023.056</v>
      </c>
      <c r="U153" s="21">
        <v>0.1</v>
      </c>
      <c r="V153" s="21">
        <f t="shared" si="85"/>
        <v>5057.64</v>
      </c>
      <c r="W153" s="6">
        <f t="shared" si="113"/>
        <v>8</v>
      </c>
      <c r="X153" s="3" t="s">
        <v>75</v>
      </c>
      <c r="Y153" s="80">
        <v>4214.7</v>
      </c>
      <c r="Z153" s="32">
        <f t="shared" si="86"/>
        <v>2.7800000000000002</v>
      </c>
      <c r="AA153" s="21">
        <v>0.8</v>
      </c>
      <c r="AB153" s="21">
        <f t="shared" si="104"/>
        <v>40461.12</v>
      </c>
      <c r="AC153" s="21">
        <v>0.8</v>
      </c>
      <c r="AD153" s="21">
        <f t="shared" si="105"/>
        <v>40461.12</v>
      </c>
      <c r="AE153" s="21">
        <v>0.83</v>
      </c>
      <c r="AF153" s="21">
        <f t="shared" si="106"/>
        <v>41978.412</v>
      </c>
      <c r="AG153" s="21">
        <v>0.25</v>
      </c>
      <c r="AH153" s="21">
        <f t="shared" si="107"/>
        <v>12644.099999999999</v>
      </c>
      <c r="AI153" s="21">
        <v>0.1</v>
      </c>
      <c r="AJ153" s="21">
        <f t="shared" si="76"/>
        <v>5057.64</v>
      </c>
      <c r="AK153" s="32">
        <f t="shared" si="90"/>
        <v>1</v>
      </c>
      <c r="AL153" s="7"/>
      <c r="AM153" s="21">
        <f t="shared" si="108"/>
        <v>0</v>
      </c>
      <c r="AN153" s="6">
        <v>1</v>
      </c>
      <c r="AO153" s="21">
        <f t="shared" si="109"/>
        <v>50576.399999999994</v>
      </c>
      <c r="AP153" s="7"/>
      <c r="AQ153" s="21">
        <f t="shared" si="110"/>
        <v>0</v>
      </c>
      <c r="AR153" s="7"/>
      <c r="AS153" s="21">
        <f t="shared" si="111"/>
        <v>0</v>
      </c>
      <c r="AT153" s="7"/>
      <c r="AU153" s="21">
        <f t="shared" si="95"/>
        <v>0</v>
      </c>
      <c r="AV153" s="16"/>
    </row>
    <row r="154" spans="1:48" ht="12.75">
      <c r="A154" s="6">
        <f t="shared" si="112"/>
        <v>9</v>
      </c>
      <c r="B154" s="3" t="s">
        <v>275</v>
      </c>
      <c r="C154" s="12">
        <v>1239.1</v>
      </c>
      <c r="D154" s="5">
        <f t="shared" si="77"/>
        <v>4.41</v>
      </c>
      <c r="E154" s="5"/>
      <c r="F154" s="7">
        <f t="shared" si="96"/>
        <v>1.55</v>
      </c>
      <c r="G154" s="2">
        <v>0.35</v>
      </c>
      <c r="H154" s="2">
        <f t="shared" si="97"/>
        <v>5204.219999999999</v>
      </c>
      <c r="I154" s="2"/>
      <c r="J154" s="2">
        <f t="shared" si="98"/>
        <v>0</v>
      </c>
      <c r="K154" s="2"/>
      <c r="L154" s="2">
        <f t="shared" si="99"/>
        <v>0</v>
      </c>
      <c r="M154" s="2"/>
      <c r="N154" s="2">
        <f t="shared" si="100"/>
        <v>0</v>
      </c>
      <c r="O154" s="2">
        <v>0.8</v>
      </c>
      <c r="P154" s="2">
        <f t="shared" si="101"/>
        <v>11895.36</v>
      </c>
      <c r="Q154" s="2"/>
      <c r="R154" s="2">
        <f t="shared" si="102"/>
        <v>0</v>
      </c>
      <c r="S154" s="2">
        <v>0.3</v>
      </c>
      <c r="T154" s="21">
        <f t="shared" si="103"/>
        <v>4460.759999999999</v>
      </c>
      <c r="U154" s="21">
        <v>0.1</v>
      </c>
      <c r="V154" s="21">
        <f t="shared" si="85"/>
        <v>1486.92</v>
      </c>
      <c r="W154" s="6">
        <f t="shared" si="113"/>
        <v>9</v>
      </c>
      <c r="X154" s="3" t="s">
        <v>275</v>
      </c>
      <c r="Y154" s="12">
        <v>1239.1</v>
      </c>
      <c r="Z154" s="32">
        <f t="shared" si="86"/>
        <v>2.8600000000000003</v>
      </c>
      <c r="AA154" s="201">
        <f>0.84-0.1</f>
        <v>0.74</v>
      </c>
      <c r="AB154" s="201">
        <f t="shared" si="104"/>
        <v>11003.207999999999</v>
      </c>
      <c r="AC154" s="201">
        <f>0.96-0.1</f>
        <v>0.86</v>
      </c>
      <c r="AD154" s="21">
        <f t="shared" si="105"/>
        <v>12787.511999999999</v>
      </c>
      <c r="AE154" s="21">
        <v>0.75</v>
      </c>
      <c r="AF154" s="21">
        <f t="shared" si="106"/>
        <v>11151.9</v>
      </c>
      <c r="AG154" s="21">
        <v>0.31</v>
      </c>
      <c r="AH154" s="21">
        <f t="shared" si="107"/>
        <v>4609.451999999999</v>
      </c>
      <c r="AI154" s="21">
        <v>0.2</v>
      </c>
      <c r="AJ154" s="21">
        <f t="shared" si="76"/>
        <v>2973.84</v>
      </c>
      <c r="AK154" s="32">
        <f t="shared" si="90"/>
        <v>0</v>
      </c>
      <c r="AL154" s="7"/>
      <c r="AM154" s="21">
        <f t="shared" si="108"/>
        <v>0</v>
      </c>
      <c r="AN154" s="6"/>
      <c r="AO154" s="21">
        <f t="shared" si="109"/>
        <v>0</v>
      </c>
      <c r="AP154" s="7"/>
      <c r="AQ154" s="21">
        <f t="shared" si="110"/>
        <v>0</v>
      </c>
      <c r="AR154" s="7"/>
      <c r="AS154" s="21">
        <f t="shared" si="111"/>
        <v>0</v>
      </c>
      <c r="AT154" s="7"/>
      <c r="AU154" s="21">
        <f t="shared" si="95"/>
        <v>0</v>
      </c>
      <c r="AV154" s="16"/>
    </row>
    <row r="155" spans="1:48" ht="12.75">
      <c r="A155" s="6"/>
      <c r="B155" s="3" t="s">
        <v>238</v>
      </c>
      <c r="C155" s="12">
        <v>3032.6</v>
      </c>
      <c r="D155" s="5">
        <f t="shared" si="77"/>
        <v>9.729999999999999</v>
      </c>
      <c r="E155" s="5"/>
      <c r="F155" s="7">
        <f t="shared" si="96"/>
        <v>3.06</v>
      </c>
      <c r="G155" s="2">
        <v>1</v>
      </c>
      <c r="H155" s="2">
        <f t="shared" si="97"/>
        <v>36391.2</v>
      </c>
      <c r="I155" s="2">
        <v>0.5</v>
      </c>
      <c r="J155" s="2">
        <f t="shared" si="98"/>
        <v>18195.6</v>
      </c>
      <c r="K155" s="2"/>
      <c r="L155" s="2">
        <f t="shared" si="99"/>
        <v>0</v>
      </c>
      <c r="M155" s="2"/>
      <c r="N155" s="2">
        <f t="shared" si="100"/>
        <v>0</v>
      </c>
      <c r="O155" s="2">
        <v>1.4</v>
      </c>
      <c r="P155" s="2">
        <f t="shared" si="101"/>
        <v>50947.67999999999</v>
      </c>
      <c r="Q155" s="2"/>
      <c r="R155" s="2">
        <f t="shared" si="102"/>
        <v>0</v>
      </c>
      <c r="S155" s="2">
        <v>0.06</v>
      </c>
      <c r="T155" s="21">
        <f t="shared" si="103"/>
        <v>2183.4719999999998</v>
      </c>
      <c r="U155" s="21">
        <v>0.1</v>
      </c>
      <c r="V155" s="21">
        <f t="shared" si="85"/>
        <v>3639.12</v>
      </c>
      <c r="W155" s="6"/>
      <c r="X155" s="3" t="s">
        <v>238</v>
      </c>
      <c r="Y155" s="12">
        <v>3032.6</v>
      </c>
      <c r="Z155" s="32">
        <f t="shared" si="86"/>
        <v>5.669999999999999</v>
      </c>
      <c r="AA155" s="201">
        <f>1.8-0.1</f>
        <v>1.7</v>
      </c>
      <c r="AB155" s="201">
        <f t="shared" si="104"/>
        <v>61865.04</v>
      </c>
      <c r="AC155" s="201">
        <f>1.69-0.1</f>
        <v>1.5899999999999999</v>
      </c>
      <c r="AD155" s="21">
        <f t="shared" si="105"/>
        <v>57862.008</v>
      </c>
      <c r="AE155" s="21">
        <v>1.68</v>
      </c>
      <c r="AF155" s="21">
        <f t="shared" si="106"/>
        <v>61137.216</v>
      </c>
      <c r="AG155" s="21">
        <v>0.6</v>
      </c>
      <c r="AH155" s="21">
        <f t="shared" si="107"/>
        <v>21834.72</v>
      </c>
      <c r="AI155" s="21">
        <v>0.1</v>
      </c>
      <c r="AJ155" s="21">
        <f t="shared" si="76"/>
        <v>3639.12</v>
      </c>
      <c r="AK155" s="32">
        <f t="shared" si="90"/>
        <v>1</v>
      </c>
      <c r="AL155" s="7"/>
      <c r="AM155" s="21">
        <f t="shared" si="108"/>
        <v>0</v>
      </c>
      <c r="AN155" s="6"/>
      <c r="AO155" s="21">
        <f t="shared" si="109"/>
        <v>0</v>
      </c>
      <c r="AP155" s="7"/>
      <c r="AQ155" s="21">
        <f t="shared" si="110"/>
        <v>0</v>
      </c>
      <c r="AR155" s="7"/>
      <c r="AS155" s="21">
        <f t="shared" si="111"/>
        <v>0</v>
      </c>
      <c r="AT155" s="7">
        <v>1</v>
      </c>
      <c r="AU155" s="21">
        <f t="shared" si="95"/>
        <v>36391.2</v>
      </c>
      <c r="AV155" s="16"/>
    </row>
    <row r="156" spans="1:48" ht="12.75">
      <c r="A156" s="6">
        <f>A154+1</f>
        <v>10</v>
      </c>
      <c r="B156" s="3" t="s">
        <v>76</v>
      </c>
      <c r="C156" s="43">
        <v>1574.21</v>
      </c>
      <c r="D156" s="5">
        <f t="shared" si="77"/>
        <v>6.210000000000001</v>
      </c>
      <c r="E156" s="5"/>
      <c r="F156" s="7">
        <f t="shared" si="96"/>
        <v>2.6100000000000003</v>
      </c>
      <c r="G156" s="2">
        <v>0.2</v>
      </c>
      <c r="H156" s="2">
        <f t="shared" si="97"/>
        <v>3778.1040000000003</v>
      </c>
      <c r="I156" s="2"/>
      <c r="J156" s="2">
        <f t="shared" si="98"/>
        <v>0</v>
      </c>
      <c r="K156" s="2"/>
      <c r="L156" s="2">
        <f t="shared" si="99"/>
        <v>0</v>
      </c>
      <c r="M156" s="2">
        <v>2</v>
      </c>
      <c r="N156" s="2">
        <f t="shared" si="100"/>
        <v>37781.04</v>
      </c>
      <c r="O156" s="2"/>
      <c r="P156" s="2">
        <f t="shared" si="101"/>
        <v>0</v>
      </c>
      <c r="Q156" s="2">
        <v>0.25</v>
      </c>
      <c r="R156" s="2">
        <f t="shared" si="102"/>
        <v>4722.63</v>
      </c>
      <c r="S156" s="2">
        <v>0.06</v>
      </c>
      <c r="T156" s="21">
        <f t="shared" si="103"/>
        <v>1133.4312</v>
      </c>
      <c r="U156" s="21">
        <v>0.1</v>
      </c>
      <c r="V156" s="21">
        <f t="shared" si="85"/>
        <v>1889.0520000000001</v>
      </c>
      <c r="W156" s="6">
        <f>W154+1</f>
        <v>10</v>
      </c>
      <c r="X156" s="3" t="s">
        <v>76</v>
      </c>
      <c r="Y156" s="43">
        <v>1574.21</v>
      </c>
      <c r="Z156" s="32">
        <f t="shared" si="86"/>
        <v>1.7</v>
      </c>
      <c r="AA156" s="21">
        <v>0.4</v>
      </c>
      <c r="AB156" s="21">
        <f t="shared" si="104"/>
        <v>7556.2080000000005</v>
      </c>
      <c r="AC156" s="21">
        <v>0.5</v>
      </c>
      <c r="AD156" s="21">
        <f t="shared" si="105"/>
        <v>9445.26</v>
      </c>
      <c r="AE156" s="21">
        <v>0.5</v>
      </c>
      <c r="AF156" s="21">
        <f t="shared" si="106"/>
        <v>9445.26</v>
      </c>
      <c r="AG156" s="21">
        <v>0.2</v>
      </c>
      <c r="AH156" s="21">
        <f t="shared" si="107"/>
        <v>3778.1040000000003</v>
      </c>
      <c r="AI156" s="21">
        <v>0.1</v>
      </c>
      <c r="AJ156" s="21">
        <f t="shared" si="76"/>
        <v>1889.0520000000001</v>
      </c>
      <c r="AK156" s="32">
        <f t="shared" si="90"/>
        <v>1.9</v>
      </c>
      <c r="AL156" s="7"/>
      <c r="AM156" s="21">
        <f t="shared" si="108"/>
        <v>0</v>
      </c>
      <c r="AN156" s="6">
        <v>1.2</v>
      </c>
      <c r="AO156" s="21">
        <f t="shared" si="109"/>
        <v>22668.624</v>
      </c>
      <c r="AP156" s="7"/>
      <c r="AQ156" s="21">
        <f t="shared" si="110"/>
        <v>0</v>
      </c>
      <c r="AR156" s="7">
        <v>0.1</v>
      </c>
      <c r="AS156" s="21">
        <f t="shared" si="111"/>
        <v>1889.0520000000001</v>
      </c>
      <c r="AT156" s="7">
        <v>0.6</v>
      </c>
      <c r="AU156" s="21">
        <f t="shared" si="95"/>
        <v>11334.312</v>
      </c>
      <c r="AV156" s="16"/>
    </row>
    <row r="157" spans="1:48" ht="12.75">
      <c r="A157" s="6">
        <f>A156+1</f>
        <v>11</v>
      </c>
      <c r="B157" s="3" t="s">
        <v>77</v>
      </c>
      <c r="C157" s="43">
        <v>1962.1</v>
      </c>
      <c r="D157" s="5">
        <f t="shared" si="77"/>
        <v>5.88</v>
      </c>
      <c r="E157" s="5"/>
      <c r="F157" s="7">
        <f t="shared" si="96"/>
        <v>1.4300000000000002</v>
      </c>
      <c r="G157" s="2">
        <v>0.5</v>
      </c>
      <c r="H157" s="2">
        <f t="shared" si="97"/>
        <v>11772.599999999999</v>
      </c>
      <c r="I157" s="2">
        <v>0.39</v>
      </c>
      <c r="J157" s="2">
        <f t="shared" si="98"/>
        <v>9182.627999999999</v>
      </c>
      <c r="K157" s="2">
        <v>0.4</v>
      </c>
      <c r="L157" s="2">
        <f t="shared" si="99"/>
        <v>9418.08</v>
      </c>
      <c r="M157" s="2"/>
      <c r="N157" s="2">
        <f t="shared" si="100"/>
        <v>0</v>
      </c>
      <c r="O157" s="2"/>
      <c r="P157" s="2">
        <f t="shared" si="101"/>
        <v>0</v>
      </c>
      <c r="Q157" s="2"/>
      <c r="R157" s="2">
        <f t="shared" si="102"/>
        <v>0</v>
      </c>
      <c r="S157" s="2">
        <v>0.04</v>
      </c>
      <c r="T157" s="21">
        <f t="shared" si="103"/>
        <v>941.808</v>
      </c>
      <c r="U157" s="21">
        <v>0.1</v>
      </c>
      <c r="V157" s="21">
        <f t="shared" si="85"/>
        <v>2354.52</v>
      </c>
      <c r="W157" s="6">
        <f>W156+1</f>
        <v>11</v>
      </c>
      <c r="X157" s="3" t="s">
        <v>77</v>
      </c>
      <c r="Y157" s="43">
        <v>1962.1</v>
      </c>
      <c r="Z157" s="32">
        <f t="shared" si="86"/>
        <v>2.4</v>
      </c>
      <c r="AA157" s="21">
        <v>0.4</v>
      </c>
      <c r="AB157" s="21">
        <f t="shared" si="104"/>
        <v>9418.08</v>
      </c>
      <c r="AC157" s="21">
        <v>1</v>
      </c>
      <c r="AD157" s="21">
        <f t="shared" si="105"/>
        <v>23545.199999999997</v>
      </c>
      <c r="AE157" s="21">
        <v>0.65</v>
      </c>
      <c r="AF157" s="21">
        <f t="shared" si="106"/>
        <v>15304.380000000001</v>
      </c>
      <c r="AG157" s="21">
        <v>0.25</v>
      </c>
      <c r="AH157" s="21">
        <f t="shared" si="107"/>
        <v>5886.299999999999</v>
      </c>
      <c r="AI157" s="21">
        <v>0.1</v>
      </c>
      <c r="AJ157" s="21">
        <f t="shared" si="76"/>
        <v>2354.52</v>
      </c>
      <c r="AK157" s="32">
        <f t="shared" si="90"/>
        <v>2.05</v>
      </c>
      <c r="AL157" s="7"/>
      <c r="AM157" s="21">
        <f t="shared" si="108"/>
        <v>0</v>
      </c>
      <c r="AN157" s="6">
        <v>1.4</v>
      </c>
      <c r="AO157" s="21">
        <f t="shared" si="109"/>
        <v>32963.28</v>
      </c>
      <c r="AP157" s="7"/>
      <c r="AQ157" s="21">
        <f t="shared" si="110"/>
        <v>0</v>
      </c>
      <c r="AR157" s="7">
        <v>0.15</v>
      </c>
      <c r="AS157" s="21">
        <f t="shared" si="111"/>
        <v>3531.7799999999997</v>
      </c>
      <c r="AT157" s="7">
        <v>0.5</v>
      </c>
      <c r="AU157" s="21">
        <f t="shared" si="95"/>
        <v>11772.599999999999</v>
      </c>
      <c r="AV157" s="16"/>
    </row>
    <row r="158" spans="1:48" ht="12.75">
      <c r="A158" s="6">
        <f aca="true" t="shared" si="114" ref="A158:A191">A157+1</f>
        <v>12</v>
      </c>
      <c r="B158" s="3" t="s">
        <v>78</v>
      </c>
      <c r="C158" s="170">
        <v>1588</v>
      </c>
      <c r="D158" s="5">
        <f t="shared" si="77"/>
        <v>5.42</v>
      </c>
      <c r="E158" s="5"/>
      <c r="F158" s="7">
        <f t="shared" si="96"/>
        <v>1.32</v>
      </c>
      <c r="G158" s="2">
        <v>0.76</v>
      </c>
      <c r="H158" s="2">
        <f t="shared" si="97"/>
        <v>14482.560000000001</v>
      </c>
      <c r="I158" s="2">
        <v>0.12</v>
      </c>
      <c r="J158" s="2">
        <f t="shared" si="98"/>
        <v>2286.7200000000003</v>
      </c>
      <c r="K158" s="2">
        <v>0.12</v>
      </c>
      <c r="L158" s="2">
        <f t="shared" si="99"/>
        <v>2286.7200000000003</v>
      </c>
      <c r="M158" s="2">
        <v>0.2</v>
      </c>
      <c r="N158" s="2">
        <f t="shared" si="100"/>
        <v>3811.2000000000003</v>
      </c>
      <c r="O158" s="2"/>
      <c r="P158" s="2">
        <f t="shared" si="101"/>
        <v>0</v>
      </c>
      <c r="Q158" s="2"/>
      <c r="R158" s="2">
        <f t="shared" si="102"/>
        <v>0</v>
      </c>
      <c r="S158" s="2">
        <v>0.02</v>
      </c>
      <c r="T158" s="21">
        <f t="shared" si="103"/>
        <v>381.12</v>
      </c>
      <c r="U158" s="21">
        <v>0.1</v>
      </c>
      <c r="V158" s="21">
        <f t="shared" si="85"/>
        <v>1905.6000000000001</v>
      </c>
      <c r="W158" s="6">
        <f aca="true" t="shared" si="115" ref="W158:W191">W157+1</f>
        <v>12</v>
      </c>
      <c r="X158" s="3" t="s">
        <v>78</v>
      </c>
      <c r="Y158" s="170">
        <v>1588</v>
      </c>
      <c r="Z158" s="32">
        <f t="shared" si="86"/>
        <v>2.1</v>
      </c>
      <c r="AA158" s="21">
        <v>0.4</v>
      </c>
      <c r="AB158" s="21">
        <f t="shared" si="104"/>
        <v>7622.400000000001</v>
      </c>
      <c r="AC158" s="21">
        <v>0.6</v>
      </c>
      <c r="AD158" s="21">
        <f t="shared" si="105"/>
        <v>11433.599999999999</v>
      </c>
      <c r="AE158" s="21">
        <v>0.5</v>
      </c>
      <c r="AF158" s="21">
        <f t="shared" si="106"/>
        <v>9528</v>
      </c>
      <c r="AG158" s="21">
        <v>0.5</v>
      </c>
      <c r="AH158" s="21">
        <f t="shared" si="107"/>
        <v>9528</v>
      </c>
      <c r="AI158" s="21">
        <v>0.1</v>
      </c>
      <c r="AJ158" s="21">
        <f t="shared" si="76"/>
        <v>1905.6000000000001</v>
      </c>
      <c r="AK158" s="32">
        <f t="shared" si="90"/>
        <v>2</v>
      </c>
      <c r="AL158" s="7"/>
      <c r="AM158" s="21">
        <f t="shared" si="108"/>
        <v>0</v>
      </c>
      <c r="AN158" s="6">
        <v>1</v>
      </c>
      <c r="AO158" s="21">
        <f t="shared" si="109"/>
        <v>19056</v>
      </c>
      <c r="AP158" s="7"/>
      <c r="AQ158" s="21">
        <f t="shared" si="110"/>
        <v>0</v>
      </c>
      <c r="AR158" s="7">
        <v>0.4</v>
      </c>
      <c r="AS158" s="21">
        <f t="shared" si="111"/>
        <v>7622.400000000001</v>
      </c>
      <c r="AT158" s="7">
        <v>0.6</v>
      </c>
      <c r="AU158" s="21">
        <f t="shared" si="95"/>
        <v>11433.599999999999</v>
      </c>
      <c r="AV158" s="16"/>
    </row>
    <row r="159" spans="1:48" ht="12.75">
      <c r="A159" s="6">
        <f t="shared" si="114"/>
        <v>13</v>
      </c>
      <c r="B159" s="3" t="s">
        <v>210</v>
      </c>
      <c r="C159" s="80">
        <v>4570.7</v>
      </c>
      <c r="D159" s="5">
        <f t="shared" si="77"/>
        <v>4.32</v>
      </c>
      <c r="E159" s="5"/>
      <c r="F159" s="7">
        <f t="shared" si="96"/>
        <v>1.2800000000000002</v>
      </c>
      <c r="G159" s="2">
        <v>0.2</v>
      </c>
      <c r="H159" s="2">
        <f t="shared" si="97"/>
        <v>10969.68</v>
      </c>
      <c r="I159" s="2">
        <v>0.6</v>
      </c>
      <c r="J159" s="2">
        <f t="shared" si="98"/>
        <v>32909.03999999999</v>
      </c>
      <c r="K159" s="2"/>
      <c r="L159" s="2">
        <f t="shared" si="99"/>
        <v>0</v>
      </c>
      <c r="M159" s="2">
        <v>0.3</v>
      </c>
      <c r="N159" s="2">
        <f t="shared" si="100"/>
        <v>16454.519999999997</v>
      </c>
      <c r="O159" s="2"/>
      <c r="P159" s="2">
        <f t="shared" si="101"/>
        <v>0</v>
      </c>
      <c r="Q159" s="2"/>
      <c r="R159" s="2">
        <f t="shared" si="102"/>
        <v>0</v>
      </c>
      <c r="S159" s="2">
        <v>0.08</v>
      </c>
      <c r="T159" s="21">
        <f t="shared" si="103"/>
        <v>4387.872</v>
      </c>
      <c r="U159" s="21">
        <v>0.1</v>
      </c>
      <c r="V159" s="21">
        <f t="shared" si="85"/>
        <v>5484.84</v>
      </c>
      <c r="W159" s="6">
        <f t="shared" si="115"/>
        <v>13</v>
      </c>
      <c r="X159" s="3" t="s">
        <v>210</v>
      </c>
      <c r="Y159" s="80">
        <v>4570.7</v>
      </c>
      <c r="Z159" s="32">
        <f t="shared" si="86"/>
        <v>1.4400000000000002</v>
      </c>
      <c r="AA159" s="21">
        <v>1</v>
      </c>
      <c r="AB159" s="21">
        <f t="shared" si="104"/>
        <v>54848.399999999994</v>
      </c>
      <c r="AC159" s="21">
        <v>0.2</v>
      </c>
      <c r="AD159" s="21">
        <f t="shared" si="105"/>
        <v>10969.68</v>
      </c>
      <c r="AE159" s="21">
        <v>0.07</v>
      </c>
      <c r="AF159" s="21">
        <f t="shared" si="106"/>
        <v>3839.388</v>
      </c>
      <c r="AG159" s="21">
        <v>0.07</v>
      </c>
      <c r="AH159" s="21">
        <f t="shared" si="107"/>
        <v>3839.388</v>
      </c>
      <c r="AI159" s="21">
        <v>0.1</v>
      </c>
      <c r="AJ159" s="21">
        <f t="shared" si="76"/>
        <v>5484.84</v>
      </c>
      <c r="AK159" s="32">
        <f t="shared" si="90"/>
        <v>1.6</v>
      </c>
      <c r="AL159" s="7"/>
      <c r="AM159" s="21">
        <f t="shared" si="108"/>
        <v>0</v>
      </c>
      <c r="AN159" s="6">
        <v>1.6</v>
      </c>
      <c r="AO159" s="21">
        <f t="shared" si="109"/>
        <v>87757.44</v>
      </c>
      <c r="AP159" s="7"/>
      <c r="AQ159" s="21">
        <f t="shared" si="110"/>
        <v>0</v>
      </c>
      <c r="AR159" s="7"/>
      <c r="AS159" s="21">
        <f t="shared" si="111"/>
        <v>0</v>
      </c>
      <c r="AT159" s="7"/>
      <c r="AU159" s="21">
        <f t="shared" si="95"/>
        <v>0</v>
      </c>
      <c r="AV159" s="16"/>
    </row>
    <row r="160" spans="1:48" ht="12.75">
      <c r="A160" s="6">
        <f t="shared" si="114"/>
        <v>14</v>
      </c>
      <c r="B160" s="3" t="s">
        <v>211</v>
      </c>
      <c r="C160" s="80">
        <v>3179.9</v>
      </c>
      <c r="D160" s="5">
        <f t="shared" si="77"/>
        <v>9.52</v>
      </c>
      <c r="E160" s="5"/>
      <c r="F160" s="7">
        <f t="shared" si="96"/>
        <v>5.619999999999999</v>
      </c>
      <c r="G160" s="2"/>
      <c r="H160" s="2">
        <f t="shared" si="97"/>
        <v>0</v>
      </c>
      <c r="I160" s="2"/>
      <c r="J160" s="2">
        <f t="shared" si="98"/>
        <v>0</v>
      </c>
      <c r="K160" s="2"/>
      <c r="L160" s="2">
        <f t="shared" si="99"/>
        <v>0</v>
      </c>
      <c r="M160" s="2">
        <v>3.46</v>
      </c>
      <c r="N160" s="2">
        <f t="shared" si="100"/>
        <v>132029.448</v>
      </c>
      <c r="O160" s="2">
        <v>1</v>
      </c>
      <c r="P160" s="2">
        <f t="shared" si="101"/>
        <v>38158.8</v>
      </c>
      <c r="Q160" s="2">
        <v>1</v>
      </c>
      <c r="R160" s="2">
        <f t="shared" si="102"/>
        <v>38158.8</v>
      </c>
      <c r="S160" s="2">
        <v>0.06</v>
      </c>
      <c r="T160" s="21">
        <f t="shared" si="103"/>
        <v>2289.5280000000002</v>
      </c>
      <c r="U160" s="21">
        <v>0.1</v>
      </c>
      <c r="V160" s="21">
        <f t="shared" si="85"/>
        <v>3815.88</v>
      </c>
      <c r="W160" s="6">
        <f t="shared" si="115"/>
        <v>14</v>
      </c>
      <c r="X160" s="3" t="s">
        <v>211</v>
      </c>
      <c r="Y160" s="80">
        <v>3179.9</v>
      </c>
      <c r="Z160" s="32">
        <f t="shared" si="86"/>
        <v>2.3</v>
      </c>
      <c r="AA160" s="21">
        <v>0.6</v>
      </c>
      <c r="AB160" s="21">
        <f t="shared" si="104"/>
        <v>22895.28</v>
      </c>
      <c r="AC160" s="21">
        <v>0.6</v>
      </c>
      <c r="AD160" s="21">
        <f t="shared" si="105"/>
        <v>22895.28</v>
      </c>
      <c r="AE160" s="21">
        <v>0.6</v>
      </c>
      <c r="AF160" s="21">
        <f t="shared" si="106"/>
        <v>22895.28</v>
      </c>
      <c r="AG160" s="21">
        <v>0.4</v>
      </c>
      <c r="AH160" s="21">
        <f t="shared" si="107"/>
        <v>15263.52</v>
      </c>
      <c r="AI160" s="21">
        <v>0.1</v>
      </c>
      <c r="AJ160" s="21">
        <f t="shared" si="76"/>
        <v>3815.88</v>
      </c>
      <c r="AK160" s="32">
        <f t="shared" si="90"/>
        <v>1.6</v>
      </c>
      <c r="AL160" s="7"/>
      <c r="AM160" s="21">
        <f t="shared" si="108"/>
        <v>0</v>
      </c>
      <c r="AN160" s="6"/>
      <c r="AO160" s="21">
        <f t="shared" si="109"/>
        <v>0</v>
      </c>
      <c r="AP160" s="7">
        <v>0.6</v>
      </c>
      <c r="AQ160" s="21">
        <f t="shared" si="110"/>
        <v>22895.28</v>
      </c>
      <c r="AR160" s="7">
        <v>1</v>
      </c>
      <c r="AS160" s="21">
        <f t="shared" si="111"/>
        <v>38158.8</v>
      </c>
      <c r="AT160" s="7"/>
      <c r="AU160" s="21">
        <f t="shared" si="95"/>
        <v>0</v>
      </c>
      <c r="AV160" s="16"/>
    </row>
    <row r="161" spans="1:48" ht="12.75">
      <c r="A161" s="6">
        <f t="shared" si="114"/>
        <v>15</v>
      </c>
      <c r="B161" s="3" t="s">
        <v>212</v>
      </c>
      <c r="C161" s="80">
        <v>4087.1</v>
      </c>
      <c r="D161" s="5">
        <f t="shared" si="77"/>
        <v>5.66</v>
      </c>
      <c r="E161" s="5"/>
      <c r="F161" s="7">
        <f t="shared" si="96"/>
        <v>3.96</v>
      </c>
      <c r="G161" s="2">
        <v>0.6</v>
      </c>
      <c r="H161" s="2">
        <f t="shared" si="97"/>
        <v>29427.119999999995</v>
      </c>
      <c r="I161" s="2">
        <v>0.08</v>
      </c>
      <c r="J161" s="2">
        <f t="shared" si="98"/>
        <v>3923.616</v>
      </c>
      <c r="K161" s="2"/>
      <c r="L161" s="2">
        <f t="shared" si="99"/>
        <v>0</v>
      </c>
      <c r="M161" s="2">
        <v>3.15</v>
      </c>
      <c r="N161" s="2">
        <f t="shared" si="100"/>
        <v>154492.38</v>
      </c>
      <c r="O161" s="2"/>
      <c r="P161" s="2">
        <f t="shared" si="101"/>
        <v>0</v>
      </c>
      <c r="Q161" s="2"/>
      <c r="R161" s="2">
        <f t="shared" si="102"/>
        <v>0</v>
      </c>
      <c r="S161" s="2">
        <v>0.03</v>
      </c>
      <c r="T161" s="21">
        <f t="shared" si="103"/>
        <v>1471.356</v>
      </c>
      <c r="U161" s="21">
        <v>0.1</v>
      </c>
      <c r="V161" s="21">
        <f t="shared" si="85"/>
        <v>4904.52</v>
      </c>
      <c r="W161" s="6">
        <f t="shared" si="115"/>
        <v>15</v>
      </c>
      <c r="X161" s="3" t="s">
        <v>212</v>
      </c>
      <c r="Y161" s="80">
        <v>4087.1</v>
      </c>
      <c r="Z161" s="32">
        <f t="shared" si="86"/>
        <v>1.7000000000000002</v>
      </c>
      <c r="AA161" s="21">
        <v>0.4</v>
      </c>
      <c r="AB161" s="21">
        <f t="shared" si="104"/>
        <v>19618.08</v>
      </c>
      <c r="AC161" s="21">
        <v>0.4</v>
      </c>
      <c r="AD161" s="21">
        <f t="shared" si="105"/>
        <v>19618.08</v>
      </c>
      <c r="AE161" s="21">
        <v>0.4</v>
      </c>
      <c r="AF161" s="21">
        <f t="shared" si="106"/>
        <v>19618.08</v>
      </c>
      <c r="AG161" s="21">
        <v>0.4</v>
      </c>
      <c r="AH161" s="21">
        <f t="shared" si="107"/>
        <v>19618.08</v>
      </c>
      <c r="AI161" s="21">
        <v>0.1</v>
      </c>
      <c r="AJ161" s="21">
        <f t="shared" si="76"/>
        <v>4904.52</v>
      </c>
      <c r="AK161" s="32">
        <f t="shared" si="90"/>
        <v>0</v>
      </c>
      <c r="AL161" s="7"/>
      <c r="AM161" s="21">
        <f t="shared" si="108"/>
        <v>0</v>
      </c>
      <c r="AN161" s="6"/>
      <c r="AO161" s="21">
        <f t="shared" si="109"/>
        <v>0</v>
      </c>
      <c r="AP161" s="7"/>
      <c r="AQ161" s="21">
        <f t="shared" si="110"/>
        <v>0</v>
      </c>
      <c r="AR161" s="7"/>
      <c r="AS161" s="21">
        <f t="shared" si="111"/>
        <v>0</v>
      </c>
      <c r="AT161" s="7"/>
      <c r="AU161" s="21">
        <f t="shared" si="95"/>
        <v>0</v>
      </c>
      <c r="AV161" s="16"/>
    </row>
    <row r="162" spans="1:48" ht="12.75">
      <c r="A162" s="6">
        <f t="shared" si="114"/>
        <v>16</v>
      </c>
      <c r="B162" s="3" t="s">
        <v>213</v>
      </c>
      <c r="C162" s="80">
        <v>5035.5</v>
      </c>
      <c r="D162" s="5">
        <f t="shared" si="77"/>
        <v>5.5</v>
      </c>
      <c r="E162" s="5"/>
      <c r="F162" s="7">
        <f t="shared" si="96"/>
        <v>1.62</v>
      </c>
      <c r="G162" s="2">
        <v>0.64</v>
      </c>
      <c r="H162" s="2">
        <f t="shared" si="97"/>
        <v>38672.64</v>
      </c>
      <c r="I162" s="2">
        <v>0.78</v>
      </c>
      <c r="J162" s="2">
        <f t="shared" si="98"/>
        <v>47132.28</v>
      </c>
      <c r="K162" s="2"/>
      <c r="L162" s="2">
        <f t="shared" si="99"/>
        <v>0</v>
      </c>
      <c r="M162" s="2"/>
      <c r="N162" s="2">
        <f t="shared" si="100"/>
        <v>0</v>
      </c>
      <c r="O162" s="2"/>
      <c r="P162" s="2">
        <f t="shared" si="101"/>
        <v>0</v>
      </c>
      <c r="Q162" s="2"/>
      <c r="R162" s="2">
        <f t="shared" si="102"/>
        <v>0</v>
      </c>
      <c r="S162" s="2">
        <v>0.1</v>
      </c>
      <c r="T162" s="21">
        <f t="shared" si="103"/>
        <v>6042.6</v>
      </c>
      <c r="U162" s="21">
        <v>0.1</v>
      </c>
      <c r="V162" s="21">
        <f t="shared" si="85"/>
        <v>6042.6</v>
      </c>
      <c r="W162" s="6">
        <f t="shared" si="115"/>
        <v>16</v>
      </c>
      <c r="X162" s="3" t="s">
        <v>213</v>
      </c>
      <c r="Y162" s="80">
        <v>5035.5</v>
      </c>
      <c r="Z162" s="32">
        <f t="shared" si="86"/>
        <v>3.38</v>
      </c>
      <c r="AA162" s="21">
        <v>0.6</v>
      </c>
      <c r="AB162" s="21">
        <f t="shared" si="104"/>
        <v>36255.6</v>
      </c>
      <c r="AC162" s="21">
        <v>1.2</v>
      </c>
      <c r="AD162" s="21">
        <f t="shared" si="105"/>
        <v>72511.2</v>
      </c>
      <c r="AE162" s="21">
        <v>0.9</v>
      </c>
      <c r="AF162" s="21">
        <f t="shared" si="106"/>
        <v>54383.399999999994</v>
      </c>
      <c r="AG162" s="21">
        <v>0.58</v>
      </c>
      <c r="AH162" s="21">
        <f t="shared" si="107"/>
        <v>35047.079999999994</v>
      </c>
      <c r="AI162" s="21">
        <v>0.1</v>
      </c>
      <c r="AJ162" s="21">
        <f t="shared" si="76"/>
        <v>6042.6</v>
      </c>
      <c r="AK162" s="32">
        <f t="shared" si="90"/>
        <v>0.5</v>
      </c>
      <c r="AL162" s="7"/>
      <c r="AM162" s="21">
        <f t="shared" si="108"/>
        <v>0</v>
      </c>
      <c r="AN162" s="6"/>
      <c r="AO162" s="21">
        <f t="shared" si="109"/>
        <v>0</v>
      </c>
      <c r="AP162" s="7"/>
      <c r="AQ162" s="21">
        <f t="shared" si="110"/>
        <v>0</v>
      </c>
      <c r="AR162" s="7"/>
      <c r="AS162" s="21">
        <f t="shared" si="111"/>
        <v>0</v>
      </c>
      <c r="AT162" s="7">
        <v>0.5</v>
      </c>
      <c r="AU162" s="21">
        <f t="shared" si="95"/>
        <v>30213</v>
      </c>
      <c r="AV162" s="16"/>
    </row>
    <row r="163" spans="1:48" ht="12.75">
      <c r="A163" s="6">
        <f t="shared" si="114"/>
        <v>17</v>
      </c>
      <c r="B163" s="3" t="s">
        <v>170</v>
      </c>
      <c r="C163" s="43">
        <v>3119.2</v>
      </c>
      <c r="D163" s="5">
        <f t="shared" si="77"/>
        <v>5.250000000000001</v>
      </c>
      <c r="E163" s="5"/>
      <c r="F163" s="7">
        <f t="shared" si="96"/>
        <v>2.5000000000000004</v>
      </c>
      <c r="G163" s="2">
        <v>2.2</v>
      </c>
      <c r="H163" s="2">
        <f t="shared" si="97"/>
        <v>82346.88</v>
      </c>
      <c r="I163" s="2"/>
      <c r="J163" s="2">
        <f t="shared" si="98"/>
        <v>0</v>
      </c>
      <c r="K163" s="2"/>
      <c r="L163" s="2">
        <f t="shared" si="99"/>
        <v>0</v>
      </c>
      <c r="M163" s="2"/>
      <c r="N163" s="2">
        <f t="shared" si="100"/>
        <v>0</v>
      </c>
      <c r="O163" s="2"/>
      <c r="P163" s="2">
        <f t="shared" si="101"/>
        <v>0</v>
      </c>
      <c r="Q163" s="2"/>
      <c r="R163" s="2">
        <f t="shared" si="102"/>
        <v>0</v>
      </c>
      <c r="S163" s="2">
        <v>0.2</v>
      </c>
      <c r="T163" s="21">
        <f t="shared" si="103"/>
        <v>7486.08</v>
      </c>
      <c r="U163" s="21">
        <v>0.1</v>
      </c>
      <c r="V163" s="21">
        <f t="shared" si="85"/>
        <v>3743.04</v>
      </c>
      <c r="W163" s="6">
        <f t="shared" si="115"/>
        <v>17</v>
      </c>
      <c r="X163" s="3" t="s">
        <v>170</v>
      </c>
      <c r="Y163" s="43">
        <v>3119.2</v>
      </c>
      <c r="Z163" s="32">
        <f t="shared" si="86"/>
        <v>2.6</v>
      </c>
      <c r="AA163" s="21">
        <v>0.6</v>
      </c>
      <c r="AB163" s="21">
        <v>0.65</v>
      </c>
      <c r="AC163" s="21">
        <v>0.65</v>
      </c>
      <c r="AD163" s="21">
        <f t="shared" si="105"/>
        <v>24329.760000000002</v>
      </c>
      <c r="AE163" s="21">
        <v>0.7</v>
      </c>
      <c r="AF163" s="21">
        <f t="shared" si="106"/>
        <v>26201.279999999995</v>
      </c>
      <c r="AG163" s="21">
        <v>0.4</v>
      </c>
      <c r="AH163" s="21">
        <f t="shared" si="107"/>
        <v>14972.16</v>
      </c>
      <c r="AI163" s="21">
        <v>0.25</v>
      </c>
      <c r="AJ163" s="21">
        <f t="shared" si="76"/>
        <v>9357.599999999999</v>
      </c>
      <c r="AK163" s="32">
        <f t="shared" si="90"/>
        <v>0.15</v>
      </c>
      <c r="AL163" s="7"/>
      <c r="AM163" s="21">
        <f t="shared" si="108"/>
        <v>0</v>
      </c>
      <c r="AN163" s="6"/>
      <c r="AO163" s="21">
        <f t="shared" si="109"/>
        <v>0</v>
      </c>
      <c r="AP163" s="7"/>
      <c r="AQ163" s="21">
        <f t="shared" si="110"/>
        <v>0</v>
      </c>
      <c r="AR163" s="7">
        <v>0.15</v>
      </c>
      <c r="AS163" s="21">
        <f t="shared" si="111"/>
        <v>5614.5599999999995</v>
      </c>
      <c r="AT163" s="7"/>
      <c r="AU163" s="21">
        <f t="shared" si="95"/>
        <v>0</v>
      </c>
      <c r="AV163" s="16"/>
    </row>
    <row r="164" spans="1:48" ht="12.75">
      <c r="A164" s="6">
        <f t="shared" si="114"/>
        <v>18</v>
      </c>
      <c r="B164" s="3" t="s">
        <v>250</v>
      </c>
      <c r="C164" s="80">
        <v>3331.7</v>
      </c>
      <c r="D164" s="5">
        <f t="shared" si="77"/>
        <v>0.9</v>
      </c>
      <c r="E164" s="5"/>
      <c r="F164" s="7"/>
      <c r="G164" s="2"/>
      <c r="H164" s="2">
        <f t="shared" si="97"/>
        <v>0</v>
      </c>
      <c r="I164" s="2"/>
      <c r="J164" s="2">
        <f t="shared" si="98"/>
        <v>0</v>
      </c>
      <c r="K164" s="2"/>
      <c r="L164" s="2">
        <f t="shared" si="99"/>
        <v>0</v>
      </c>
      <c r="M164" s="2"/>
      <c r="N164" s="2">
        <f t="shared" si="100"/>
        <v>0</v>
      </c>
      <c r="O164" s="2"/>
      <c r="P164" s="2">
        <f t="shared" si="101"/>
        <v>0</v>
      </c>
      <c r="Q164" s="2"/>
      <c r="R164" s="2">
        <f t="shared" si="102"/>
        <v>0</v>
      </c>
      <c r="S164" s="2"/>
      <c r="T164" s="21">
        <f t="shared" si="103"/>
        <v>0</v>
      </c>
      <c r="U164" s="21">
        <v>0.5</v>
      </c>
      <c r="V164" s="21">
        <f t="shared" si="85"/>
        <v>19990.199999999997</v>
      </c>
      <c r="W164" s="6">
        <f t="shared" si="115"/>
        <v>18</v>
      </c>
      <c r="X164" s="3" t="s">
        <v>250</v>
      </c>
      <c r="Y164" s="80">
        <v>3331.7</v>
      </c>
      <c r="Z164" s="32">
        <f t="shared" si="86"/>
        <v>0.9</v>
      </c>
      <c r="AA164" s="21">
        <v>0.4</v>
      </c>
      <c r="AB164" s="21">
        <f t="shared" si="104"/>
        <v>15992.16</v>
      </c>
      <c r="AC164" s="21"/>
      <c r="AD164" s="21">
        <f t="shared" si="105"/>
        <v>0</v>
      </c>
      <c r="AE164" s="21"/>
      <c r="AF164" s="21">
        <f t="shared" si="106"/>
        <v>0</v>
      </c>
      <c r="AG164" s="21"/>
      <c r="AH164" s="21">
        <f t="shared" si="107"/>
        <v>0</v>
      </c>
      <c r="AI164" s="21">
        <v>0.5</v>
      </c>
      <c r="AJ164" s="21">
        <f>AI164*C164*12</f>
        <v>19990.199999999997</v>
      </c>
      <c r="AK164" s="32">
        <f t="shared" si="90"/>
        <v>0</v>
      </c>
      <c r="AL164" s="7"/>
      <c r="AM164" s="21">
        <f t="shared" si="108"/>
        <v>0</v>
      </c>
      <c r="AN164" s="6"/>
      <c r="AO164" s="21">
        <f t="shared" si="109"/>
        <v>0</v>
      </c>
      <c r="AP164" s="7"/>
      <c r="AQ164" s="21">
        <f t="shared" si="110"/>
        <v>0</v>
      </c>
      <c r="AR164" s="7"/>
      <c r="AS164" s="21">
        <f t="shared" si="111"/>
        <v>0</v>
      </c>
      <c r="AT164" s="7"/>
      <c r="AU164" s="21">
        <f t="shared" si="95"/>
        <v>0</v>
      </c>
      <c r="AV164" s="16"/>
    </row>
    <row r="165" spans="1:48" ht="12.75">
      <c r="A165" s="6">
        <f t="shared" si="114"/>
        <v>19</v>
      </c>
      <c r="B165" s="3" t="s">
        <v>79</v>
      </c>
      <c r="C165" s="80">
        <v>3882.7</v>
      </c>
      <c r="D165" s="5">
        <f t="shared" si="77"/>
        <v>4.140000000000001</v>
      </c>
      <c r="E165" s="5"/>
      <c r="F165" s="7">
        <f aca="true" t="shared" si="116" ref="F165:F177">G165+I165+K165+M165+O165+Q165+S165+U165</f>
        <v>2.0300000000000002</v>
      </c>
      <c r="G165" s="2">
        <v>0.45</v>
      </c>
      <c r="H165" s="2">
        <f t="shared" si="97"/>
        <v>20966.579999999998</v>
      </c>
      <c r="I165" s="2">
        <v>0.6</v>
      </c>
      <c r="J165" s="2">
        <f t="shared" si="98"/>
        <v>27955.44</v>
      </c>
      <c r="K165" s="2"/>
      <c r="L165" s="2">
        <f t="shared" si="99"/>
        <v>0</v>
      </c>
      <c r="M165" s="2">
        <v>0.4</v>
      </c>
      <c r="N165" s="2">
        <f t="shared" si="100"/>
        <v>18636.96</v>
      </c>
      <c r="O165" s="2">
        <v>0.4</v>
      </c>
      <c r="P165" s="2">
        <f t="shared" si="101"/>
        <v>18636.96</v>
      </c>
      <c r="Q165" s="2"/>
      <c r="R165" s="2">
        <f t="shared" si="102"/>
        <v>0</v>
      </c>
      <c r="S165" s="2">
        <v>0.08</v>
      </c>
      <c r="T165" s="21">
        <f t="shared" si="103"/>
        <v>3727.392</v>
      </c>
      <c r="U165" s="21">
        <v>0.1</v>
      </c>
      <c r="V165" s="21">
        <f t="shared" si="85"/>
        <v>4659.24</v>
      </c>
      <c r="W165" s="6">
        <f t="shared" si="115"/>
        <v>19</v>
      </c>
      <c r="X165" s="3" t="s">
        <v>79</v>
      </c>
      <c r="Y165" s="80">
        <v>3882.7</v>
      </c>
      <c r="Z165" s="32">
        <f t="shared" si="86"/>
        <v>1.9800000000000002</v>
      </c>
      <c r="AA165" s="21">
        <v>0.55</v>
      </c>
      <c r="AB165" s="21">
        <f t="shared" si="104"/>
        <v>25625.82</v>
      </c>
      <c r="AC165" s="21">
        <v>0.55</v>
      </c>
      <c r="AD165" s="21">
        <f t="shared" si="105"/>
        <v>25625.82</v>
      </c>
      <c r="AE165" s="21">
        <v>0.33</v>
      </c>
      <c r="AF165" s="21">
        <f t="shared" si="106"/>
        <v>15375.491999999998</v>
      </c>
      <c r="AG165" s="21">
        <v>0.3</v>
      </c>
      <c r="AH165" s="21">
        <f t="shared" si="107"/>
        <v>13977.72</v>
      </c>
      <c r="AI165" s="21">
        <v>0.25</v>
      </c>
      <c r="AJ165" s="21">
        <f t="shared" si="76"/>
        <v>11648.099999999999</v>
      </c>
      <c r="AK165" s="32">
        <f t="shared" si="90"/>
        <v>0.13</v>
      </c>
      <c r="AL165" s="7"/>
      <c r="AM165" s="21">
        <f t="shared" si="108"/>
        <v>0</v>
      </c>
      <c r="AN165" s="6"/>
      <c r="AO165" s="21">
        <f t="shared" si="109"/>
        <v>0</v>
      </c>
      <c r="AP165" s="7"/>
      <c r="AQ165" s="21">
        <f t="shared" si="110"/>
        <v>0</v>
      </c>
      <c r="AR165" s="7">
        <v>0.13</v>
      </c>
      <c r="AS165" s="21">
        <f t="shared" si="111"/>
        <v>6057.012</v>
      </c>
      <c r="AT165" s="7"/>
      <c r="AU165" s="21">
        <f t="shared" si="95"/>
        <v>0</v>
      </c>
      <c r="AV165" s="16"/>
    </row>
    <row r="166" spans="1:48" ht="12.75">
      <c r="A166" s="6">
        <f t="shared" si="114"/>
        <v>20</v>
      </c>
      <c r="B166" s="3" t="s">
        <v>80</v>
      </c>
      <c r="C166" s="80">
        <v>4238.7</v>
      </c>
      <c r="D166" s="5">
        <f t="shared" si="77"/>
        <v>5.760000000000001</v>
      </c>
      <c r="E166" s="5"/>
      <c r="F166" s="7">
        <f t="shared" si="116"/>
        <v>1.11</v>
      </c>
      <c r="G166" s="2">
        <v>0.56</v>
      </c>
      <c r="H166" s="2">
        <f t="shared" si="97"/>
        <v>28484.064</v>
      </c>
      <c r="I166" s="2">
        <v>0.35</v>
      </c>
      <c r="J166" s="2">
        <f t="shared" si="98"/>
        <v>17802.539999999997</v>
      </c>
      <c r="K166" s="2"/>
      <c r="L166" s="2">
        <f t="shared" si="99"/>
        <v>0</v>
      </c>
      <c r="M166" s="2"/>
      <c r="N166" s="2">
        <f t="shared" si="100"/>
        <v>0</v>
      </c>
      <c r="O166" s="2"/>
      <c r="P166" s="2">
        <f t="shared" si="101"/>
        <v>0</v>
      </c>
      <c r="Q166" s="2"/>
      <c r="R166" s="2">
        <f t="shared" si="102"/>
        <v>0</v>
      </c>
      <c r="S166" s="2">
        <v>0.1</v>
      </c>
      <c r="T166" s="21">
        <f t="shared" si="103"/>
        <v>5086.4400000000005</v>
      </c>
      <c r="U166" s="21">
        <v>0.1</v>
      </c>
      <c r="V166" s="21">
        <f t="shared" si="85"/>
        <v>5086.4400000000005</v>
      </c>
      <c r="W166" s="6">
        <f t="shared" si="115"/>
        <v>20</v>
      </c>
      <c r="X166" s="3" t="s">
        <v>80</v>
      </c>
      <c r="Y166" s="80">
        <v>4238.7</v>
      </c>
      <c r="Z166" s="32">
        <f t="shared" si="86"/>
        <v>2.74</v>
      </c>
      <c r="AA166" s="21">
        <v>0.48</v>
      </c>
      <c r="AB166" s="21">
        <f t="shared" si="104"/>
        <v>24414.911999999997</v>
      </c>
      <c r="AC166" s="21">
        <v>0.78</v>
      </c>
      <c r="AD166" s="21">
        <f t="shared" si="105"/>
        <v>39674.232</v>
      </c>
      <c r="AE166" s="21">
        <v>0.78</v>
      </c>
      <c r="AF166" s="21">
        <f t="shared" si="106"/>
        <v>39674.232</v>
      </c>
      <c r="AG166" s="21">
        <v>0.6</v>
      </c>
      <c r="AH166" s="21">
        <f t="shared" si="107"/>
        <v>30518.64</v>
      </c>
      <c r="AI166" s="21">
        <v>0.1</v>
      </c>
      <c r="AJ166" s="21">
        <f t="shared" si="76"/>
        <v>5086.4400000000005</v>
      </c>
      <c r="AK166" s="32">
        <f t="shared" si="90"/>
        <v>1.91</v>
      </c>
      <c r="AL166" s="7"/>
      <c r="AM166" s="21">
        <f t="shared" si="108"/>
        <v>0</v>
      </c>
      <c r="AN166" s="6">
        <v>1.2</v>
      </c>
      <c r="AO166" s="21">
        <f t="shared" si="109"/>
        <v>61037.28</v>
      </c>
      <c r="AP166" s="7"/>
      <c r="AQ166" s="21">
        <f t="shared" si="110"/>
        <v>0</v>
      </c>
      <c r="AR166" s="7">
        <v>0.16</v>
      </c>
      <c r="AS166" s="21">
        <f t="shared" si="111"/>
        <v>8138.304</v>
      </c>
      <c r="AT166" s="7">
        <v>0.55</v>
      </c>
      <c r="AU166" s="21">
        <f t="shared" si="95"/>
        <v>27975.420000000006</v>
      </c>
      <c r="AV166" s="16"/>
    </row>
    <row r="167" spans="1:48" ht="12.75">
      <c r="A167" s="6">
        <f t="shared" si="114"/>
        <v>21</v>
      </c>
      <c r="B167" s="3" t="s">
        <v>81</v>
      </c>
      <c r="C167" s="80">
        <v>1711.1</v>
      </c>
      <c r="D167" s="5">
        <f t="shared" si="77"/>
        <v>5.62</v>
      </c>
      <c r="E167" s="5"/>
      <c r="F167" s="7">
        <f t="shared" si="116"/>
        <v>0.2</v>
      </c>
      <c r="G167" s="2"/>
      <c r="H167" s="2">
        <f t="shared" si="97"/>
        <v>0</v>
      </c>
      <c r="I167" s="2"/>
      <c r="J167" s="2">
        <f t="shared" si="98"/>
        <v>0</v>
      </c>
      <c r="K167" s="2"/>
      <c r="L167" s="2">
        <f t="shared" si="99"/>
        <v>0</v>
      </c>
      <c r="M167" s="2"/>
      <c r="N167" s="2">
        <f t="shared" si="100"/>
        <v>0</v>
      </c>
      <c r="O167" s="2"/>
      <c r="P167" s="2">
        <f t="shared" si="101"/>
        <v>0</v>
      </c>
      <c r="Q167" s="2"/>
      <c r="R167" s="2">
        <f t="shared" si="102"/>
        <v>0</v>
      </c>
      <c r="S167" s="2">
        <v>0.1</v>
      </c>
      <c r="T167" s="21">
        <f t="shared" si="103"/>
        <v>2053.32</v>
      </c>
      <c r="U167" s="21">
        <v>0.1</v>
      </c>
      <c r="V167" s="21">
        <f t="shared" si="85"/>
        <v>2053.32</v>
      </c>
      <c r="W167" s="6">
        <f t="shared" si="115"/>
        <v>21</v>
      </c>
      <c r="X167" s="3" t="s">
        <v>81</v>
      </c>
      <c r="Y167" s="80">
        <v>1711.1</v>
      </c>
      <c r="Z167" s="32">
        <f t="shared" si="86"/>
        <v>3.6999999999999997</v>
      </c>
      <c r="AA167" s="21">
        <v>0.92</v>
      </c>
      <c r="AB167" s="21">
        <f t="shared" si="104"/>
        <v>18890.544</v>
      </c>
      <c r="AC167" s="21">
        <v>0.98</v>
      </c>
      <c r="AD167" s="21">
        <f t="shared" si="105"/>
        <v>20122.536</v>
      </c>
      <c r="AE167" s="21">
        <v>1</v>
      </c>
      <c r="AF167" s="21">
        <f t="shared" si="106"/>
        <v>20533.199999999997</v>
      </c>
      <c r="AG167" s="21">
        <v>0.7</v>
      </c>
      <c r="AH167" s="21">
        <f t="shared" si="107"/>
        <v>14373.239999999998</v>
      </c>
      <c r="AI167" s="21">
        <v>0.1</v>
      </c>
      <c r="AJ167" s="21">
        <f t="shared" si="76"/>
        <v>2053.32</v>
      </c>
      <c r="AK167" s="32">
        <f t="shared" si="90"/>
        <v>1.7200000000000002</v>
      </c>
      <c r="AL167" s="7"/>
      <c r="AM167" s="21">
        <f t="shared" si="108"/>
        <v>0</v>
      </c>
      <c r="AN167" s="6">
        <v>0.8</v>
      </c>
      <c r="AO167" s="21">
        <f t="shared" si="109"/>
        <v>16426.56</v>
      </c>
      <c r="AP167" s="7"/>
      <c r="AQ167" s="21">
        <f t="shared" si="110"/>
        <v>0</v>
      </c>
      <c r="AR167" s="7">
        <v>0.32</v>
      </c>
      <c r="AS167" s="21">
        <f t="shared" si="111"/>
        <v>6570.624</v>
      </c>
      <c r="AT167" s="7">
        <v>0.6</v>
      </c>
      <c r="AU167" s="21">
        <f t="shared" si="95"/>
        <v>12319.919999999998</v>
      </c>
      <c r="AV167" s="16"/>
    </row>
    <row r="168" spans="1:48" ht="12.75">
      <c r="A168" s="6">
        <f t="shared" si="114"/>
        <v>22</v>
      </c>
      <c r="B168" s="3" t="s">
        <v>82</v>
      </c>
      <c r="C168" s="80">
        <v>4987.9</v>
      </c>
      <c r="D168" s="5">
        <f t="shared" si="77"/>
        <v>5.08</v>
      </c>
      <c r="E168" s="5"/>
      <c r="F168" s="7">
        <f t="shared" si="116"/>
        <v>2.6199999999999997</v>
      </c>
      <c r="G168" s="2">
        <v>0.37</v>
      </c>
      <c r="H168" s="2">
        <f t="shared" si="97"/>
        <v>22146.275999999998</v>
      </c>
      <c r="I168" s="2"/>
      <c r="J168" s="2">
        <f t="shared" si="98"/>
        <v>0</v>
      </c>
      <c r="K168" s="2"/>
      <c r="L168" s="2">
        <f t="shared" si="99"/>
        <v>0</v>
      </c>
      <c r="M168" s="2">
        <v>1</v>
      </c>
      <c r="N168" s="2">
        <f t="shared" si="100"/>
        <v>59854.799999999996</v>
      </c>
      <c r="O168" s="2">
        <v>0.4</v>
      </c>
      <c r="P168" s="2">
        <f t="shared" si="101"/>
        <v>23941.92</v>
      </c>
      <c r="Q168" s="2">
        <v>0.4</v>
      </c>
      <c r="R168" s="2">
        <f t="shared" si="102"/>
        <v>23941.92</v>
      </c>
      <c r="S168" s="2">
        <v>0.15</v>
      </c>
      <c r="T168" s="21">
        <f t="shared" si="103"/>
        <v>8978.22</v>
      </c>
      <c r="U168" s="21">
        <v>0.3</v>
      </c>
      <c r="V168" s="21">
        <f t="shared" si="85"/>
        <v>17956.44</v>
      </c>
      <c r="W168" s="6">
        <f t="shared" si="115"/>
        <v>22</v>
      </c>
      <c r="X168" s="3" t="s">
        <v>82</v>
      </c>
      <c r="Y168" s="80">
        <v>4987.9</v>
      </c>
      <c r="Z168" s="32">
        <f t="shared" si="86"/>
        <v>1.8600000000000003</v>
      </c>
      <c r="AA168" s="21">
        <v>0.66</v>
      </c>
      <c r="AB168" s="21">
        <f t="shared" si="104"/>
        <v>39504.168000000005</v>
      </c>
      <c r="AC168" s="21">
        <v>0.25</v>
      </c>
      <c r="AD168" s="21">
        <f t="shared" si="105"/>
        <v>14963.699999999999</v>
      </c>
      <c r="AE168" s="21">
        <v>0.25</v>
      </c>
      <c r="AF168" s="21">
        <f t="shared" si="106"/>
        <v>14963.699999999999</v>
      </c>
      <c r="AG168" s="21">
        <v>0.3</v>
      </c>
      <c r="AH168" s="21">
        <f t="shared" si="107"/>
        <v>17956.44</v>
      </c>
      <c r="AI168" s="21">
        <v>0.4</v>
      </c>
      <c r="AJ168" s="21">
        <f t="shared" si="76"/>
        <v>23941.92</v>
      </c>
      <c r="AK168" s="32">
        <f t="shared" si="90"/>
        <v>0.6</v>
      </c>
      <c r="AL168" s="7"/>
      <c r="AM168" s="21">
        <f t="shared" si="108"/>
        <v>0</v>
      </c>
      <c r="AN168" s="6"/>
      <c r="AO168" s="21">
        <f t="shared" si="109"/>
        <v>0</v>
      </c>
      <c r="AP168" s="7"/>
      <c r="AQ168" s="21">
        <f t="shared" si="110"/>
        <v>0</v>
      </c>
      <c r="AR168" s="7">
        <v>0.6</v>
      </c>
      <c r="AS168" s="21">
        <f t="shared" si="111"/>
        <v>35912.88</v>
      </c>
      <c r="AT168" s="7"/>
      <c r="AU168" s="21">
        <f t="shared" si="95"/>
        <v>0</v>
      </c>
      <c r="AV168" s="16"/>
    </row>
    <row r="169" spans="1:48" ht="12.75">
      <c r="A169" s="6">
        <f t="shared" si="114"/>
        <v>23</v>
      </c>
      <c r="B169" s="3" t="s">
        <v>83</v>
      </c>
      <c r="C169" s="80">
        <v>4089.3</v>
      </c>
      <c r="D169" s="5">
        <f t="shared" si="77"/>
        <v>5.2299999999999995</v>
      </c>
      <c r="E169" s="5"/>
      <c r="F169" s="7">
        <f t="shared" si="116"/>
        <v>1.65</v>
      </c>
      <c r="G169" s="21">
        <v>0.8</v>
      </c>
      <c r="H169" s="2">
        <f t="shared" si="97"/>
        <v>39257.280000000006</v>
      </c>
      <c r="I169" s="21"/>
      <c r="J169" s="2">
        <f t="shared" si="98"/>
        <v>0</v>
      </c>
      <c r="K169" s="21"/>
      <c r="L169" s="2">
        <f t="shared" si="99"/>
        <v>0</v>
      </c>
      <c r="M169" s="21">
        <v>0.2</v>
      </c>
      <c r="N169" s="2">
        <f t="shared" si="100"/>
        <v>9814.320000000002</v>
      </c>
      <c r="O169" s="21">
        <v>0.25</v>
      </c>
      <c r="P169" s="2">
        <f t="shared" si="101"/>
        <v>12267.900000000001</v>
      </c>
      <c r="Q169" s="21"/>
      <c r="R169" s="2">
        <f t="shared" si="102"/>
        <v>0</v>
      </c>
      <c r="S169" s="21">
        <v>0.2</v>
      </c>
      <c r="T169" s="21">
        <f t="shared" si="103"/>
        <v>9814.320000000002</v>
      </c>
      <c r="U169" s="21">
        <v>0.2</v>
      </c>
      <c r="V169" s="21">
        <f t="shared" si="85"/>
        <v>9814.320000000002</v>
      </c>
      <c r="W169" s="6">
        <f t="shared" si="115"/>
        <v>23</v>
      </c>
      <c r="X169" s="3" t="s">
        <v>83</v>
      </c>
      <c r="Y169" s="80">
        <v>4089.3</v>
      </c>
      <c r="Z169" s="32">
        <f t="shared" si="86"/>
        <v>2.98</v>
      </c>
      <c r="AA169" s="21">
        <v>0.68</v>
      </c>
      <c r="AB169" s="21">
        <f t="shared" si="104"/>
        <v>33368.688</v>
      </c>
      <c r="AC169" s="21">
        <v>0.9</v>
      </c>
      <c r="AD169" s="21">
        <f t="shared" si="105"/>
        <v>44164.44</v>
      </c>
      <c r="AE169" s="21">
        <v>0.9</v>
      </c>
      <c r="AF169" s="21">
        <f t="shared" si="106"/>
        <v>44164.44</v>
      </c>
      <c r="AG169" s="21">
        <v>0.3</v>
      </c>
      <c r="AH169" s="21">
        <f t="shared" si="107"/>
        <v>14721.48</v>
      </c>
      <c r="AI169" s="21">
        <v>0.2</v>
      </c>
      <c r="AJ169" s="21">
        <f t="shared" si="76"/>
        <v>9814.320000000002</v>
      </c>
      <c r="AK169" s="32">
        <f t="shared" si="90"/>
        <v>0.6</v>
      </c>
      <c r="AL169" s="7"/>
      <c r="AM169" s="21">
        <f t="shared" si="108"/>
        <v>0</v>
      </c>
      <c r="AN169" s="7"/>
      <c r="AO169" s="21">
        <f t="shared" si="109"/>
        <v>0</v>
      </c>
      <c r="AP169" s="7"/>
      <c r="AQ169" s="21">
        <f t="shared" si="110"/>
        <v>0</v>
      </c>
      <c r="AR169" s="7">
        <v>0.6</v>
      </c>
      <c r="AS169" s="21">
        <f t="shared" si="111"/>
        <v>29442.96</v>
      </c>
      <c r="AT169" s="7"/>
      <c r="AU169" s="21">
        <f t="shared" si="95"/>
        <v>0</v>
      </c>
      <c r="AV169" s="16"/>
    </row>
    <row r="170" spans="1:48" ht="12.75">
      <c r="A170" s="6">
        <f t="shared" si="114"/>
        <v>24</v>
      </c>
      <c r="B170" s="3" t="s">
        <v>236</v>
      </c>
      <c r="C170" s="43">
        <v>2177.9</v>
      </c>
      <c r="D170" s="5">
        <f t="shared" si="77"/>
        <v>5.550000000000001</v>
      </c>
      <c r="E170" s="5"/>
      <c r="F170" s="7">
        <f t="shared" si="116"/>
        <v>1.1500000000000001</v>
      </c>
      <c r="G170" s="2">
        <v>0.4</v>
      </c>
      <c r="H170" s="2">
        <f t="shared" si="97"/>
        <v>10453.920000000002</v>
      </c>
      <c r="I170" s="2">
        <v>0.25</v>
      </c>
      <c r="J170" s="2">
        <f t="shared" si="98"/>
        <v>6533.700000000001</v>
      </c>
      <c r="K170" s="2"/>
      <c r="L170" s="2">
        <f t="shared" si="99"/>
        <v>0</v>
      </c>
      <c r="M170" s="2">
        <v>0.2</v>
      </c>
      <c r="N170" s="2">
        <f t="shared" si="100"/>
        <v>5226.960000000001</v>
      </c>
      <c r="O170" s="2"/>
      <c r="P170" s="2">
        <f t="shared" si="101"/>
        <v>0</v>
      </c>
      <c r="Q170" s="2"/>
      <c r="R170" s="2">
        <f t="shared" si="102"/>
        <v>0</v>
      </c>
      <c r="S170" s="2">
        <v>0.2</v>
      </c>
      <c r="T170" s="21">
        <f t="shared" si="103"/>
        <v>5226.960000000001</v>
      </c>
      <c r="U170" s="21">
        <v>0.1</v>
      </c>
      <c r="V170" s="21">
        <f t="shared" si="85"/>
        <v>2613.4800000000005</v>
      </c>
      <c r="W170" s="6">
        <f t="shared" si="115"/>
        <v>24</v>
      </c>
      <c r="X170" s="3" t="s">
        <v>236</v>
      </c>
      <c r="Y170" s="43">
        <v>2177.9</v>
      </c>
      <c r="Z170" s="32">
        <f t="shared" si="86"/>
        <v>3.3000000000000003</v>
      </c>
      <c r="AA170" s="21">
        <v>0.6</v>
      </c>
      <c r="AB170" s="21">
        <f t="shared" si="104"/>
        <v>15680.880000000001</v>
      </c>
      <c r="AC170" s="21">
        <v>1</v>
      </c>
      <c r="AD170" s="21">
        <f t="shared" si="105"/>
        <v>26134.800000000003</v>
      </c>
      <c r="AE170" s="21">
        <v>1</v>
      </c>
      <c r="AF170" s="21">
        <f t="shared" si="106"/>
        <v>26134.800000000003</v>
      </c>
      <c r="AG170" s="21">
        <v>0.6</v>
      </c>
      <c r="AH170" s="21">
        <f t="shared" si="107"/>
        <v>15680.880000000001</v>
      </c>
      <c r="AI170" s="21">
        <v>0.1</v>
      </c>
      <c r="AJ170" s="21">
        <f t="shared" si="76"/>
        <v>2613.4800000000005</v>
      </c>
      <c r="AK170" s="32">
        <f t="shared" si="90"/>
        <v>1.1</v>
      </c>
      <c r="AL170" s="7"/>
      <c r="AM170" s="21">
        <f t="shared" si="108"/>
        <v>0</v>
      </c>
      <c r="AN170" s="6">
        <v>0.5</v>
      </c>
      <c r="AO170" s="21">
        <f t="shared" si="109"/>
        <v>13067.400000000001</v>
      </c>
      <c r="AP170" s="7"/>
      <c r="AQ170" s="21">
        <f t="shared" si="110"/>
        <v>0</v>
      </c>
      <c r="AR170" s="7"/>
      <c r="AS170" s="21">
        <f t="shared" si="111"/>
        <v>0</v>
      </c>
      <c r="AT170" s="7">
        <v>0.6</v>
      </c>
      <c r="AU170" s="21">
        <f t="shared" si="95"/>
        <v>15680.880000000001</v>
      </c>
      <c r="AV170" s="16"/>
    </row>
    <row r="171" spans="1:48" ht="12.75">
      <c r="A171" s="6">
        <f t="shared" si="114"/>
        <v>25</v>
      </c>
      <c r="B171" s="3" t="s">
        <v>84</v>
      </c>
      <c r="C171" s="80">
        <v>3763.6</v>
      </c>
      <c r="D171" s="5">
        <f t="shared" si="77"/>
        <v>5.38</v>
      </c>
      <c r="E171" s="5"/>
      <c r="F171" s="7">
        <f t="shared" si="116"/>
        <v>1.5</v>
      </c>
      <c r="G171" s="2">
        <v>0.7</v>
      </c>
      <c r="H171" s="2">
        <f t="shared" si="97"/>
        <v>31614.239999999998</v>
      </c>
      <c r="I171" s="2">
        <v>0.1</v>
      </c>
      <c r="J171" s="2">
        <f t="shared" si="98"/>
        <v>4516.32</v>
      </c>
      <c r="K171" s="2"/>
      <c r="L171" s="2">
        <f t="shared" si="99"/>
        <v>0</v>
      </c>
      <c r="M171" s="2">
        <v>0.2</v>
      </c>
      <c r="N171" s="2">
        <f t="shared" si="100"/>
        <v>9032.64</v>
      </c>
      <c r="O171" s="2">
        <v>0.2</v>
      </c>
      <c r="P171" s="2">
        <f t="shared" si="101"/>
        <v>9032.64</v>
      </c>
      <c r="Q171" s="2"/>
      <c r="R171" s="2">
        <f t="shared" si="102"/>
        <v>0</v>
      </c>
      <c r="S171" s="2">
        <v>0.2</v>
      </c>
      <c r="T171" s="21">
        <f t="shared" si="103"/>
        <v>9032.64</v>
      </c>
      <c r="U171" s="21">
        <v>0.1</v>
      </c>
      <c r="V171" s="21">
        <f t="shared" si="85"/>
        <v>4516.32</v>
      </c>
      <c r="W171" s="6">
        <f t="shared" si="115"/>
        <v>25</v>
      </c>
      <c r="X171" s="3" t="s">
        <v>84</v>
      </c>
      <c r="Y171" s="80">
        <v>3763.6</v>
      </c>
      <c r="Z171" s="32">
        <f t="shared" si="86"/>
        <v>3.2800000000000002</v>
      </c>
      <c r="AA171" s="21">
        <v>1</v>
      </c>
      <c r="AB171" s="21">
        <f t="shared" si="104"/>
        <v>45163.2</v>
      </c>
      <c r="AC171" s="21">
        <v>0.88</v>
      </c>
      <c r="AD171" s="21">
        <f t="shared" si="105"/>
        <v>39743.615999999995</v>
      </c>
      <c r="AE171" s="21">
        <v>0.7</v>
      </c>
      <c r="AF171" s="21">
        <f t="shared" si="106"/>
        <v>31614.239999999998</v>
      </c>
      <c r="AG171" s="21">
        <v>0.6</v>
      </c>
      <c r="AH171" s="21">
        <f t="shared" si="107"/>
        <v>27097.92</v>
      </c>
      <c r="AI171" s="21">
        <v>0.1</v>
      </c>
      <c r="AJ171" s="21">
        <f t="shared" si="76"/>
        <v>4516.32</v>
      </c>
      <c r="AK171" s="32">
        <f t="shared" si="90"/>
        <v>0.6</v>
      </c>
      <c r="AL171" s="7"/>
      <c r="AM171" s="21">
        <f t="shared" si="108"/>
        <v>0</v>
      </c>
      <c r="AN171" s="6"/>
      <c r="AO171" s="21">
        <f t="shared" si="109"/>
        <v>0</v>
      </c>
      <c r="AP171" s="7"/>
      <c r="AQ171" s="21">
        <f t="shared" si="110"/>
        <v>0</v>
      </c>
      <c r="AR171" s="7"/>
      <c r="AS171" s="21">
        <f t="shared" si="111"/>
        <v>0</v>
      </c>
      <c r="AT171" s="7">
        <v>0.6</v>
      </c>
      <c r="AU171" s="21">
        <f t="shared" si="95"/>
        <v>27097.92</v>
      </c>
      <c r="AV171" s="16"/>
    </row>
    <row r="172" spans="1:48" ht="12.75">
      <c r="A172" s="6">
        <f t="shared" si="114"/>
        <v>26</v>
      </c>
      <c r="B172" s="3" t="s">
        <v>85</v>
      </c>
      <c r="C172" s="80">
        <v>3497.6</v>
      </c>
      <c r="D172" s="5">
        <f t="shared" si="77"/>
        <v>5.31</v>
      </c>
      <c r="E172" s="5"/>
      <c r="F172" s="7">
        <f t="shared" si="116"/>
        <v>2.3000000000000003</v>
      </c>
      <c r="G172" s="2">
        <v>0.8</v>
      </c>
      <c r="H172" s="2">
        <f t="shared" si="97"/>
        <v>33576.96</v>
      </c>
      <c r="I172" s="2">
        <v>0.8</v>
      </c>
      <c r="J172" s="2">
        <f t="shared" si="98"/>
        <v>33576.96</v>
      </c>
      <c r="K172" s="2"/>
      <c r="L172" s="2">
        <f t="shared" si="99"/>
        <v>0</v>
      </c>
      <c r="M172" s="2">
        <v>0.2</v>
      </c>
      <c r="N172" s="2">
        <f t="shared" si="100"/>
        <v>8394.24</v>
      </c>
      <c r="O172" s="2">
        <v>0.2</v>
      </c>
      <c r="P172" s="2">
        <f t="shared" si="101"/>
        <v>8394.24</v>
      </c>
      <c r="Q172" s="2"/>
      <c r="R172" s="2">
        <f t="shared" si="102"/>
        <v>0</v>
      </c>
      <c r="S172" s="2">
        <v>0.1</v>
      </c>
      <c r="T172" s="21">
        <f t="shared" si="103"/>
        <v>4197.12</v>
      </c>
      <c r="U172" s="21">
        <v>0.2</v>
      </c>
      <c r="V172" s="21">
        <f t="shared" si="85"/>
        <v>8394.24</v>
      </c>
      <c r="W172" s="6">
        <f t="shared" si="115"/>
        <v>26</v>
      </c>
      <c r="X172" s="3" t="s">
        <v>85</v>
      </c>
      <c r="Y172" s="80">
        <v>3497.6</v>
      </c>
      <c r="Z172" s="32">
        <f t="shared" si="86"/>
        <v>2.71</v>
      </c>
      <c r="AA172" s="21">
        <v>0.9</v>
      </c>
      <c r="AB172" s="21">
        <f t="shared" si="104"/>
        <v>37774.08</v>
      </c>
      <c r="AC172" s="21">
        <v>0.81</v>
      </c>
      <c r="AD172" s="21">
        <f t="shared" si="105"/>
        <v>33996.672</v>
      </c>
      <c r="AE172" s="21">
        <v>0.4</v>
      </c>
      <c r="AF172" s="21">
        <f t="shared" si="106"/>
        <v>16788.48</v>
      </c>
      <c r="AG172" s="21">
        <v>0.4</v>
      </c>
      <c r="AH172" s="21">
        <f t="shared" si="107"/>
        <v>16788.48</v>
      </c>
      <c r="AI172" s="21">
        <v>0.2</v>
      </c>
      <c r="AJ172" s="21">
        <f t="shared" si="76"/>
        <v>8394.24</v>
      </c>
      <c r="AK172" s="32">
        <f t="shared" si="90"/>
        <v>0.30000000000000004</v>
      </c>
      <c r="AL172" s="7">
        <v>0.2</v>
      </c>
      <c r="AM172" s="21">
        <f t="shared" si="108"/>
        <v>8394.24</v>
      </c>
      <c r="AN172" s="6"/>
      <c r="AO172" s="21">
        <f t="shared" si="109"/>
        <v>0</v>
      </c>
      <c r="AP172" s="7"/>
      <c r="AQ172" s="21">
        <f t="shared" si="110"/>
        <v>0</v>
      </c>
      <c r="AR172" s="7">
        <v>0.1</v>
      </c>
      <c r="AS172" s="21">
        <f t="shared" si="111"/>
        <v>4197.12</v>
      </c>
      <c r="AT172" s="7"/>
      <c r="AU172" s="21">
        <f t="shared" si="95"/>
        <v>0</v>
      </c>
      <c r="AV172" s="16"/>
    </row>
    <row r="173" spans="1:48" ht="12.75">
      <c r="A173" s="6">
        <f t="shared" si="114"/>
        <v>27</v>
      </c>
      <c r="B173" s="3" t="s">
        <v>86</v>
      </c>
      <c r="C173" s="80">
        <v>1221.3</v>
      </c>
      <c r="D173" s="5">
        <f t="shared" si="77"/>
        <v>4.970000000000001</v>
      </c>
      <c r="E173" s="5"/>
      <c r="F173" s="7">
        <f t="shared" si="116"/>
        <v>0.9999999999999999</v>
      </c>
      <c r="G173" s="2">
        <v>0.5</v>
      </c>
      <c r="H173" s="2">
        <f t="shared" si="97"/>
        <v>7327.799999999999</v>
      </c>
      <c r="I173" s="2">
        <v>0.2</v>
      </c>
      <c r="J173" s="2">
        <f t="shared" si="98"/>
        <v>2931.12</v>
      </c>
      <c r="K173" s="2"/>
      <c r="L173" s="2">
        <f t="shared" si="99"/>
        <v>0</v>
      </c>
      <c r="M173" s="2"/>
      <c r="N173" s="2">
        <f t="shared" si="100"/>
        <v>0</v>
      </c>
      <c r="O173" s="2"/>
      <c r="P173" s="2">
        <f t="shared" si="101"/>
        <v>0</v>
      </c>
      <c r="Q173" s="2"/>
      <c r="R173" s="2">
        <f t="shared" si="102"/>
        <v>0</v>
      </c>
      <c r="S173" s="2">
        <v>0.2</v>
      </c>
      <c r="T173" s="21">
        <f t="shared" si="103"/>
        <v>2931.12</v>
      </c>
      <c r="U173" s="21">
        <v>0.1</v>
      </c>
      <c r="V173" s="21">
        <f t="shared" si="85"/>
        <v>1465.56</v>
      </c>
      <c r="W173" s="6">
        <f t="shared" si="115"/>
        <v>27</v>
      </c>
      <c r="X173" s="3" t="s">
        <v>86</v>
      </c>
      <c r="Y173" s="80">
        <v>1221.3</v>
      </c>
      <c r="Z173" s="32">
        <f t="shared" si="86"/>
        <v>2.37</v>
      </c>
      <c r="AA173" s="21">
        <v>0.55</v>
      </c>
      <c r="AB173" s="21">
        <f t="shared" si="104"/>
        <v>8060.58</v>
      </c>
      <c r="AC173" s="21">
        <v>0.66</v>
      </c>
      <c r="AD173" s="21">
        <f t="shared" si="105"/>
        <v>9672.696</v>
      </c>
      <c r="AE173" s="21">
        <v>0.66</v>
      </c>
      <c r="AF173" s="21">
        <f t="shared" si="106"/>
        <v>9672.696</v>
      </c>
      <c r="AG173" s="21">
        <v>0.4</v>
      </c>
      <c r="AH173" s="21">
        <f t="shared" si="107"/>
        <v>5862.24</v>
      </c>
      <c r="AI173" s="21">
        <v>0.1</v>
      </c>
      <c r="AJ173" s="21">
        <f t="shared" si="76"/>
        <v>1465.56</v>
      </c>
      <c r="AK173" s="32">
        <f t="shared" si="90"/>
        <v>1.6</v>
      </c>
      <c r="AL173" s="7">
        <v>0.2</v>
      </c>
      <c r="AM173" s="21">
        <f t="shared" si="108"/>
        <v>2931.12</v>
      </c>
      <c r="AN173" s="6"/>
      <c r="AO173" s="21">
        <f t="shared" si="109"/>
        <v>0</v>
      </c>
      <c r="AP173" s="7"/>
      <c r="AQ173" s="21">
        <f t="shared" si="110"/>
        <v>0</v>
      </c>
      <c r="AR173" s="7">
        <v>0.8</v>
      </c>
      <c r="AS173" s="21">
        <f t="shared" si="111"/>
        <v>11724.48</v>
      </c>
      <c r="AT173" s="7">
        <v>0.6</v>
      </c>
      <c r="AU173" s="21">
        <f t="shared" si="95"/>
        <v>8793.36</v>
      </c>
      <c r="AV173" s="16"/>
    </row>
    <row r="174" spans="1:48" ht="12.75">
      <c r="A174" s="6">
        <f t="shared" si="114"/>
        <v>28</v>
      </c>
      <c r="B174" s="3" t="s">
        <v>87</v>
      </c>
      <c r="C174" s="80">
        <v>4210.4</v>
      </c>
      <c r="D174" s="5">
        <f t="shared" si="77"/>
        <v>5.4300000000000015</v>
      </c>
      <c r="E174" s="5"/>
      <c r="F174" s="7">
        <f t="shared" si="116"/>
        <v>2.4300000000000006</v>
      </c>
      <c r="G174" s="2">
        <v>0.8</v>
      </c>
      <c r="H174" s="2">
        <f t="shared" si="97"/>
        <v>40419.84</v>
      </c>
      <c r="I174" s="2">
        <v>0.7</v>
      </c>
      <c r="J174" s="2">
        <f t="shared" si="98"/>
        <v>35367.36</v>
      </c>
      <c r="K174" s="2"/>
      <c r="L174" s="2">
        <f t="shared" si="99"/>
        <v>0</v>
      </c>
      <c r="M174" s="2">
        <v>0.53</v>
      </c>
      <c r="N174" s="2">
        <f t="shared" si="100"/>
        <v>26778.143999999997</v>
      </c>
      <c r="O174" s="2">
        <v>0.2</v>
      </c>
      <c r="P174" s="2">
        <f t="shared" si="101"/>
        <v>10104.96</v>
      </c>
      <c r="Q174" s="2"/>
      <c r="R174" s="2">
        <f t="shared" si="102"/>
        <v>0</v>
      </c>
      <c r="S174" s="2">
        <v>0.1</v>
      </c>
      <c r="T174" s="21">
        <f t="shared" si="103"/>
        <v>5052.48</v>
      </c>
      <c r="U174" s="21">
        <v>0.1</v>
      </c>
      <c r="V174" s="21">
        <f t="shared" si="85"/>
        <v>5052.48</v>
      </c>
      <c r="W174" s="6">
        <f t="shared" si="115"/>
        <v>28</v>
      </c>
      <c r="X174" s="3" t="s">
        <v>87</v>
      </c>
      <c r="Y174" s="80">
        <v>4210.4</v>
      </c>
      <c r="Z174" s="32">
        <f t="shared" si="86"/>
        <v>1.6</v>
      </c>
      <c r="AA174" s="21">
        <v>0.4</v>
      </c>
      <c r="AB174" s="21">
        <f t="shared" si="104"/>
        <v>20209.92</v>
      </c>
      <c r="AC174" s="21">
        <v>0.3</v>
      </c>
      <c r="AD174" s="21">
        <f t="shared" si="105"/>
        <v>15157.439999999999</v>
      </c>
      <c r="AE174" s="21">
        <v>0.3</v>
      </c>
      <c r="AF174" s="21">
        <f t="shared" si="106"/>
        <v>15157.439999999999</v>
      </c>
      <c r="AG174" s="21">
        <v>0.5</v>
      </c>
      <c r="AH174" s="21">
        <f t="shared" si="107"/>
        <v>25262.399999999998</v>
      </c>
      <c r="AI174" s="21">
        <v>0.1</v>
      </c>
      <c r="AJ174" s="21">
        <f t="shared" si="76"/>
        <v>5052.48</v>
      </c>
      <c r="AK174" s="32">
        <f t="shared" si="90"/>
        <v>1.4</v>
      </c>
      <c r="AL174" s="7">
        <v>0.2</v>
      </c>
      <c r="AM174" s="21">
        <f t="shared" si="108"/>
        <v>10104.96</v>
      </c>
      <c r="AN174" s="6">
        <v>1.2</v>
      </c>
      <c r="AO174" s="21">
        <f t="shared" si="109"/>
        <v>60629.759999999995</v>
      </c>
      <c r="AP174" s="7"/>
      <c r="AQ174" s="21">
        <f t="shared" si="110"/>
        <v>0</v>
      </c>
      <c r="AR174" s="7"/>
      <c r="AS174" s="21">
        <f t="shared" si="111"/>
        <v>0</v>
      </c>
      <c r="AT174" s="7"/>
      <c r="AU174" s="21">
        <f t="shared" si="95"/>
        <v>0</v>
      </c>
      <c r="AV174" s="16"/>
    </row>
    <row r="175" spans="1:48" ht="12.75">
      <c r="A175" s="6">
        <f t="shared" si="114"/>
        <v>29</v>
      </c>
      <c r="B175" s="3" t="s">
        <v>88</v>
      </c>
      <c r="C175" s="168">
        <v>1297</v>
      </c>
      <c r="D175" s="5">
        <f t="shared" si="77"/>
        <v>4.93</v>
      </c>
      <c r="E175" s="5"/>
      <c r="F175" s="7">
        <f t="shared" si="116"/>
        <v>1.1</v>
      </c>
      <c r="G175" s="2">
        <v>0.4</v>
      </c>
      <c r="H175" s="2">
        <f t="shared" si="97"/>
        <v>6225.6</v>
      </c>
      <c r="I175" s="2">
        <v>0.2</v>
      </c>
      <c r="J175" s="2">
        <f t="shared" si="98"/>
        <v>3112.8</v>
      </c>
      <c r="K175" s="2"/>
      <c r="L175" s="2">
        <f t="shared" si="99"/>
        <v>0</v>
      </c>
      <c r="M175" s="2">
        <v>0.2</v>
      </c>
      <c r="N175" s="2">
        <f t="shared" si="100"/>
        <v>3112.8</v>
      </c>
      <c r="O175" s="2"/>
      <c r="P175" s="2">
        <f t="shared" si="101"/>
        <v>0</v>
      </c>
      <c r="Q175" s="2"/>
      <c r="R175" s="2">
        <f t="shared" si="102"/>
        <v>0</v>
      </c>
      <c r="S175" s="2">
        <v>0.2</v>
      </c>
      <c r="T175" s="21">
        <f t="shared" si="103"/>
        <v>3112.8</v>
      </c>
      <c r="U175" s="21">
        <v>0.1</v>
      </c>
      <c r="V175" s="21">
        <f t="shared" si="85"/>
        <v>1556.4</v>
      </c>
      <c r="W175" s="6">
        <f t="shared" si="115"/>
        <v>29</v>
      </c>
      <c r="X175" s="3" t="s">
        <v>88</v>
      </c>
      <c r="Y175" s="168">
        <v>1297</v>
      </c>
      <c r="Z175" s="32">
        <f t="shared" si="86"/>
        <v>3.1</v>
      </c>
      <c r="AA175" s="21">
        <v>0.6</v>
      </c>
      <c r="AB175" s="21">
        <f t="shared" si="104"/>
        <v>9338.4</v>
      </c>
      <c r="AC175" s="21">
        <v>0.9</v>
      </c>
      <c r="AD175" s="21">
        <f t="shared" si="105"/>
        <v>14007.599999999999</v>
      </c>
      <c r="AE175" s="21">
        <v>0.9</v>
      </c>
      <c r="AF175" s="21">
        <f t="shared" si="106"/>
        <v>14007.599999999999</v>
      </c>
      <c r="AG175" s="21">
        <v>0.6</v>
      </c>
      <c r="AH175" s="21">
        <f t="shared" si="107"/>
        <v>9338.4</v>
      </c>
      <c r="AI175" s="21">
        <v>0.1</v>
      </c>
      <c r="AJ175" s="21">
        <f t="shared" si="76"/>
        <v>1556.4</v>
      </c>
      <c r="AK175" s="32">
        <f t="shared" si="90"/>
        <v>0.73</v>
      </c>
      <c r="AL175" s="7">
        <v>0.2</v>
      </c>
      <c r="AM175" s="21">
        <f t="shared" si="108"/>
        <v>3112.8</v>
      </c>
      <c r="AN175" s="6"/>
      <c r="AO175" s="21">
        <f t="shared" si="109"/>
        <v>0</v>
      </c>
      <c r="AP175" s="7"/>
      <c r="AQ175" s="21">
        <f t="shared" si="110"/>
        <v>0</v>
      </c>
      <c r="AR175" s="7"/>
      <c r="AS175" s="21">
        <f t="shared" si="111"/>
        <v>0</v>
      </c>
      <c r="AT175" s="7">
        <v>0.53</v>
      </c>
      <c r="AU175" s="21">
        <f t="shared" si="95"/>
        <v>8248.920000000002</v>
      </c>
      <c r="AV175" s="16"/>
    </row>
    <row r="176" spans="1:48" ht="12.75">
      <c r="A176" s="6">
        <f t="shared" si="114"/>
        <v>30</v>
      </c>
      <c r="B176" s="3" t="s">
        <v>89</v>
      </c>
      <c r="C176" s="80">
        <v>1304.8</v>
      </c>
      <c r="D176" s="5">
        <f t="shared" si="77"/>
        <v>4.630000000000001</v>
      </c>
      <c r="E176" s="5"/>
      <c r="F176" s="7">
        <f t="shared" si="116"/>
        <v>1.2100000000000002</v>
      </c>
      <c r="G176" s="2">
        <v>0.4</v>
      </c>
      <c r="H176" s="2">
        <f t="shared" si="97"/>
        <v>6263.039999999999</v>
      </c>
      <c r="I176" s="2">
        <v>0.25</v>
      </c>
      <c r="J176" s="2">
        <f t="shared" si="98"/>
        <v>3914.3999999999996</v>
      </c>
      <c r="K176" s="2"/>
      <c r="L176" s="2">
        <f t="shared" si="99"/>
        <v>0</v>
      </c>
      <c r="M176" s="2">
        <v>0.26</v>
      </c>
      <c r="N176" s="2">
        <f t="shared" si="100"/>
        <v>4070.9759999999997</v>
      </c>
      <c r="O176" s="2"/>
      <c r="P176" s="2">
        <f t="shared" si="101"/>
        <v>0</v>
      </c>
      <c r="Q176" s="2"/>
      <c r="R176" s="2">
        <f t="shared" si="102"/>
        <v>0</v>
      </c>
      <c r="S176" s="2">
        <v>0.2</v>
      </c>
      <c r="T176" s="21">
        <f t="shared" si="103"/>
        <v>3131.5199999999995</v>
      </c>
      <c r="U176" s="21">
        <v>0.1</v>
      </c>
      <c r="V176" s="21">
        <f t="shared" si="85"/>
        <v>1565.7599999999998</v>
      </c>
      <c r="W176" s="6">
        <f t="shared" si="115"/>
        <v>30</v>
      </c>
      <c r="X176" s="3" t="s">
        <v>89</v>
      </c>
      <c r="Y176" s="80">
        <v>1304.8</v>
      </c>
      <c r="Z176" s="32">
        <f t="shared" si="86"/>
        <v>2.3200000000000003</v>
      </c>
      <c r="AA176" s="21">
        <v>0.56</v>
      </c>
      <c r="AB176" s="21">
        <f t="shared" si="104"/>
        <v>8768.256</v>
      </c>
      <c r="AC176" s="21">
        <v>0.58</v>
      </c>
      <c r="AD176" s="21">
        <f t="shared" si="105"/>
        <v>9081.408</v>
      </c>
      <c r="AE176" s="21">
        <v>0.58</v>
      </c>
      <c r="AF176" s="21">
        <f t="shared" si="106"/>
        <v>9081.408</v>
      </c>
      <c r="AG176" s="21">
        <v>0.5</v>
      </c>
      <c r="AH176" s="21">
        <f t="shared" si="107"/>
        <v>7828.799999999999</v>
      </c>
      <c r="AI176" s="21">
        <v>0.1</v>
      </c>
      <c r="AJ176" s="21">
        <f t="shared" si="76"/>
        <v>1565.7599999999998</v>
      </c>
      <c r="AK176" s="32">
        <f t="shared" si="90"/>
        <v>1.1</v>
      </c>
      <c r="AL176" s="7">
        <v>0.2</v>
      </c>
      <c r="AM176" s="21">
        <f t="shared" si="108"/>
        <v>3131.5199999999995</v>
      </c>
      <c r="AN176" s="6"/>
      <c r="AO176" s="21">
        <f t="shared" si="109"/>
        <v>0</v>
      </c>
      <c r="AP176" s="7"/>
      <c r="AQ176" s="21">
        <f t="shared" si="110"/>
        <v>0</v>
      </c>
      <c r="AR176" s="7">
        <v>0.9</v>
      </c>
      <c r="AS176" s="21">
        <f t="shared" si="111"/>
        <v>14091.84</v>
      </c>
      <c r="AT176" s="7"/>
      <c r="AU176" s="21">
        <f t="shared" si="95"/>
        <v>0</v>
      </c>
      <c r="AV176" s="16"/>
    </row>
    <row r="177" spans="1:48" ht="12.75">
      <c r="A177" s="6">
        <f t="shared" si="114"/>
        <v>31</v>
      </c>
      <c r="B177" s="3" t="s">
        <v>187</v>
      </c>
      <c r="C177" s="43">
        <v>2025.1</v>
      </c>
      <c r="D177" s="5">
        <f t="shared" si="77"/>
        <v>4.53</v>
      </c>
      <c r="E177" s="5"/>
      <c r="F177" s="7">
        <f t="shared" si="116"/>
        <v>1.8</v>
      </c>
      <c r="G177" s="2">
        <v>0.4</v>
      </c>
      <c r="H177" s="2">
        <f t="shared" si="97"/>
        <v>9720.48</v>
      </c>
      <c r="I177" s="2">
        <v>0.4</v>
      </c>
      <c r="J177" s="2">
        <f t="shared" si="98"/>
        <v>9720.48</v>
      </c>
      <c r="K177" s="2"/>
      <c r="L177" s="2">
        <f t="shared" si="99"/>
        <v>0</v>
      </c>
      <c r="M177" s="2">
        <v>0.4</v>
      </c>
      <c r="N177" s="2">
        <f t="shared" si="100"/>
        <v>9720.48</v>
      </c>
      <c r="O177" s="2"/>
      <c r="P177" s="2">
        <f t="shared" si="101"/>
        <v>0</v>
      </c>
      <c r="Q177" s="2"/>
      <c r="R177" s="2">
        <f t="shared" si="102"/>
        <v>0</v>
      </c>
      <c r="S177" s="2">
        <v>0.4</v>
      </c>
      <c r="T177" s="21">
        <f t="shared" si="103"/>
        <v>9720.48</v>
      </c>
      <c r="U177" s="21">
        <v>0.2</v>
      </c>
      <c r="V177" s="21">
        <f t="shared" si="85"/>
        <v>4860.24</v>
      </c>
      <c r="W177" s="6">
        <f t="shared" si="115"/>
        <v>31</v>
      </c>
      <c r="X177" s="3" t="s">
        <v>187</v>
      </c>
      <c r="Y177" s="43">
        <v>2025.1</v>
      </c>
      <c r="Z177" s="32">
        <f t="shared" si="86"/>
        <v>1.55</v>
      </c>
      <c r="AA177" s="21">
        <v>0.45</v>
      </c>
      <c r="AB177" s="21">
        <f t="shared" si="104"/>
        <v>10935.539999999999</v>
      </c>
      <c r="AC177" s="21">
        <v>0.25</v>
      </c>
      <c r="AD177" s="21">
        <f t="shared" si="105"/>
        <v>6075.299999999999</v>
      </c>
      <c r="AE177" s="21">
        <v>0.25</v>
      </c>
      <c r="AF177" s="21">
        <f t="shared" si="106"/>
        <v>6075.299999999999</v>
      </c>
      <c r="AG177" s="21">
        <v>0.4</v>
      </c>
      <c r="AH177" s="21">
        <f t="shared" si="107"/>
        <v>9720.48</v>
      </c>
      <c r="AI177" s="21">
        <v>0.2</v>
      </c>
      <c r="AJ177" s="21">
        <f t="shared" si="76"/>
        <v>4860.24</v>
      </c>
      <c r="AK177" s="32">
        <f t="shared" si="90"/>
        <v>1.18</v>
      </c>
      <c r="AL177" s="7">
        <v>0.83</v>
      </c>
      <c r="AM177" s="21">
        <f t="shared" si="108"/>
        <v>20169.996</v>
      </c>
      <c r="AN177" s="6"/>
      <c r="AO177" s="21">
        <f t="shared" si="109"/>
        <v>0</v>
      </c>
      <c r="AP177" s="7"/>
      <c r="AQ177" s="21">
        <f t="shared" si="110"/>
        <v>0</v>
      </c>
      <c r="AR177" s="7">
        <v>0.35</v>
      </c>
      <c r="AS177" s="21">
        <f t="shared" si="111"/>
        <v>8505.42</v>
      </c>
      <c r="AT177" s="7"/>
      <c r="AU177" s="21">
        <f t="shared" si="95"/>
        <v>0</v>
      </c>
      <c r="AV177" s="16"/>
    </row>
    <row r="178" spans="1:48" ht="12.75">
      <c r="A178" s="6">
        <f t="shared" si="114"/>
        <v>32</v>
      </c>
      <c r="B178" s="2" t="s">
        <v>255</v>
      </c>
      <c r="C178" s="38">
        <v>1582.6</v>
      </c>
      <c r="D178" s="5">
        <f t="shared" si="77"/>
        <v>0.8</v>
      </c>
      <c r="E178" s="5"/>
      <c r="F178" s="7"/>
      <c r="G178" s="2"/>
      <c r="H178" s="2">
        <f t="shared" si="97"/>
        <v>0</v>
      </c>
      <c r="I178" s="2"/>
      <c r="J178" s="2">
        <f t="shared" si="98"/>
        <v>0</v>
      </c>
      <c r="K178" s="190"/>
      <c r="L178" s="2">
        <f t="shared" si="99"/>
        <v>0</v>
      </c>
      <c r="M178" s="190"/>
      <c r="N178" s="2">
        <f t="shared" si="100"/>
        <v>0</v>
      </c>
      <c r="O178" s="190"/>
      <c r="P178" s="2">
        <f t="shared" si="101"/>
        <v>0</v>
      </c>
      <c r="Q178" s="190"/>
      <c r="R178" s="2">
        <f t="shared" si="102"/>
        <v>0</v>
      </c>
      <c r="S178" s="2"/>
      <c r="T178" s="21">
        <f t="shared" si="103"/>
        <v>0</v>
      </c>
      <c r="U178" s="21">
        <v>0.2</v>
      </c>
      <c r="V178" s="21">
        <f t="shared" si="85"/>
        <v>3798.24</v>
      </c>
      <c r="W178" s="6">
        <f t="shared" si="115"/>
        <v>32</v>
      </c>
      <c r="X178" s="2" t="s">
        <v>255</v>
      </c>
      <c r="Y178" s="38">
        <v>1582.6</v>
      </c>
      <c r="Z178" s="32">
        <f t="shared" si="86"/>
        <v>0.4</v>
      </c>
      <c r="AA178" s="2"/>
      <c r="AB178" s="21">
        <f t="shared" si="104"/>
        <v>0</v>
      </c>
      <c r="AC178" s="2"/>
      <c r="AD178" s="21">
        <f t="shared" si="105"/>
        <v>0</v>
      </c>
      <c r="AE178" s="190"/>
      <c r="AF178" s="21">
        <f t="shared" si="106"/>
        <v>0</v>
      </c>
      <c r="AG178" s="190"/>
      <c r="AH178" s="21">
        <f t="shared" si="107"/>
        <v>0</v>
      </c>
      <c r="AI178" s="21">
        <v>0.4</v>
      </c>
      <c r="AJ178" s="21">
        <f t="shared" si="76"/>
        <v>7596.48</v>
      </c>
      <c r="AK178" s="32">
        <f t="shared" si="90"/>
        <v>0.4</v>
      </c>
      <c r="AL178" s="2">
        <v>0.4</v>
      </c>
      <c r="AM178" s="21">
        <f t="shared" si="108"/>
        <v>7596.48</v>
      </c>
      <c r="AN178" s="190"/>
      <c r="AO178" s="21">
        <f t="shared" si="109"/>
        <v>0</v>
      </c>
      <c r="AP178" s="190"/>
      <c r="AQ178" s="21">
        <f t="shared" si="110"/>
        <v>0</v>
      </c>
      <c r="AR178" s="190"/>
      <c r="AS178" s="21">
        <f t="shared" si="111"/>
        <v>0</v>
      </c>
      <c r="AT178" s="190"/>
      <c r="AU178" s="21">
        <f t="shared" si="95"/>
        <v>0</v>
      </c>
      <c r="AV178" s="16"/>
    </row>
    <row r="179" spans="1:48" ht="12.75">
      <c r="A179" s="6">
        <f t="shared" si="114"/>
        <v>33</v>
      </c>
      <c r="B179" s="3" t="s">
        <v>90</v>
      </c>
      <c r="C179" s="168">
        <v>4035.6</v>
      </c>
      <c r="D179" s="5">
        <f t="shared" si="77"/>
        <v>5.29</v>
      </c>
      <c r="E179" s="5"/>
      <c r="F179" s="7">
        <f aca="true" t="shared" si="117" ref="F179:F191">G179+I179+K179+M179+O179+Q179+S179+U179</f>
        <v>1.51</v>
      </c>
      <c r="G179" s="2">
        <v>0.9</v>
      </c>
      <c r="H179" s="2">
        <f t="shared" si="97"/>
        <v>43584.479999999996</v>
      </c>
      <c r="I179" s="2">
        <v>0.31</v>
      </c>
      <c r="J179" s="2">
        <f t="shared" si="98"/>
        <v>15012.432</v>
      </c>
      <c r="K179" s="2"/>
      <c r="L179" s="2">
        <f t="shared" si="99"/>
        <v>0</v>
      </c>
      <c r="M179" s="2"/>
      <c r="N179" s="2">
        <f t="shared" si="100"/>
        <v>0</v>
      </c>
      <c r="O179" s="2"/>
      <c r="P179" s="2">
        <f t="shared" si="101"/>
        <v>0</v>
      </c>
      <c r="Q179" s="2"/>
      <c r="R179" s="2">
        <f t="shared" si="102"/>
        <v>0</v>
      </c>
      <c r="S179" s="2">
        <v>0.2</v>
      </c>
      <c r="T179" s="21">
        <f t="shared" si="103"/>
        <v>9685.44</v>
      </c>
      <c r="U179" s="21">
        <v>0.1</v>
      </c>
      <c r="V179" s="21">
        <f t="shared" si="85"/>
        <v>4842.72</v>
      </c>
      <c r="W179" s="6">
        <f t="shared" si="115"/>
        <v>33</v>
      </c>
      <c r="X179" s="3" t="s">
        <v>90</v>
      </c>
      <c r="Y179" s="168">
        <v>4035.6</v>
      </c>
      <c r="Z179" s="32">
        <f t="shared" si="86"/>
        <v>3.18</v>
      </c>
      <c r="AA179" s="21">
        <v>0.78</v>
      </c>
      <c r="AB179" s="21">
        <f t="shared" si="104"/>
        <v>37773.216</v>
      </c>
      <c r="AC179" s="21">
        <v>0.9</v>
      </c>
      <c r="AD179" s="21">
        <f t="shared" si="105"/>
        <v>43584.479999999996</v>
      </c>
      <c r="AE179" s="21">
        <v>0.9</v>
      </c>
      <c r="AF179" s="21">
        <f t="shared" si="106"/>
        <v>43584.479999999996</v>
      </c>
      <c r="AG179" s="21">
        <v>0.5</v>
      </c>
      <c r="AH179" s="21">
        <f t="shared" si="107"/>
        <v>24213.6</v>
      </c>
      <c r="AI179" s="21">
        <v>0.1</v>
      </c>
      <c r="AJ179" s="21">
        <f t="shared" si="76"/>
        <v>4842.72</v>
      </c>
      <c r="AK179" s="32">
        <f t="shared" si="90"/>
        <v>0.6</v>
      </c>
      <c r="AL179" s="7"/>
      <c r="AM179" s="21">
        <f t="shared" si="108"/>
        <v>0</v>
      </c>
      <c r="AN179" s="6">
        <v>0.6</v>
      </c>
      <c r="AO179" s="21">
        <f t="shared" si="109"/>
        <v>29056.319999999996</v>
      </c>
      <c r="AP179" s="7"/>
      <c r="AQ179" s="21">
        <f t="shared" si="110"/>
        <v>0</v>
      </c>
      <c r="AR179" s="7"/>
      <c r="AS179" s="21">
        <f t="shared" si="111"/>
        <v>0</v>
      </c>
      <c r="AT179" s="7"/>
      <c r="AU179" s="21">
        <f t="shared" si="95"/>
        <v>0</v>
      </c>
      <c r="AV179" s="16"/>
    </row>
    <row r="180" spans="1:48" ht="12.75">
      <c r="A180" s="6">
        <f t="shared" si="114"/>
        <v>34</v>
      </c>
      <c r="B180" s="3" t="s">
        <v>91</v>
      </c>
      <c r="C180" s="80">
        <v>2056.5</v>
      </c>
      <c r="D180" s="5">
        <f t="shared" si="77"/>
        <v>4.46</v>
      </c>
      <c r="E180" s="5"/>
      <c r="F180" s="7">
        <f t="shared" si="117"/>
        <v>1.3</v>
      </c>
      <c r="G180" s="21">
        <v>0.5</v>
      </c>
      <c r="H180" s="2">
        <f t="shared" si="97"/>
        <v>12339</v>
      </c>
      <c r="I180" s="21">
        <v>0.5</v>
      </c>
      <c r="J180" s="2">
        <f t="shared" si="98"/>
        <v>12339</v>
      </c>
      <c r="K180" s="21"/>
      <c r="L180" s="2">
        <f t="shared" si="99"/>
        <v>0</v>
      </c>
      <c r="M180" s="21"/>
      <c r="N180" s="2">
        <f t="shared" si="100"/>
        <v>0</v>
      </c>
      <c r="O180" s="21"/>
      <c r="P180" s="2">
        <f t="shared" si="101"/>
        <v>0</v>
      </c>
      <c r="Q180" s="21"/>
      <c r="R180" s="2">
        <f t="shared" si="102"/>
        <v>0</v>
      </c>
      <c r="S180" s="21">
        <v>0.2</v>
      </c>
      <c r="T180" s="21">
        <f t="shared" si="103"/>
        <v>4935.6</v>
      </c>
      <c r="U180" s="21">
        <v>0.1</v>
      </c>
      <c r="V180" s="21">
        <f t="shared" si="85"/>
        <v>2467.8</v>
      </c>
      <c r="W180" s="6">
        <f t="shared" si="115"/>
        <v>34</v>
      </c>
      <c r="X180" s="3" t="s">
        <v>91</v>
      </c>
      <c r="Y180" s="80">
        <v>2056.5</v>
      </c>
      <c r="Z180" s="32">
        <f t="shared" si="86"/>
        <v>2.36</v>
      </c>
      <c r="AA180" s="21">
        <v>0.5</v>
      </c>
      <c r="AB180" s="21">
        <f t="shared" si="104"/>
        <v>12339</v>
      </c>
      <c r="AC180" s="21">
        <v>0.65</v>
      </c>
      <c r="AD180" s="21">
        <f t="shared" si="105"/>
        <v>16040.7</v>
      </c>
      <c r="AE180" s="21">
        <v>0.65</v>
      </c>
      <c r="AF180" s="21">
        <f t="shared" si="106"/>
        <v>16040.7</v>
      </c>
      <c r="AG180" s="21">
        <v>0.46</v>
      </c>
      <c r="AH180" s="21">
        <f t="shared" si="107"/>
        <v>11351.880000000001</v>
      </c>
      <c r="AI180" s="21">
        <v>0.1</v>
      </c>
      <c r="AJ180" s="21">
        <f t="shared" si="76"/>
        <v>2467.8</v>
      </c>
      <c r="AK180" s="32">
        <f t="shared" si="90"/>
        <v>0.8</v>
      </c>
      <c r="AL180" s="7"/>
      <c r="AM180" s="21">
        <f t="shared" si="108"/>
        <v>0</v>
      </c>
      <c r="AN180" s="7"/>
      <c r="AO180" s="21">
        <f t="shared" si="109"/>
        <v>0</v>
      </c>
      <c r="AP180" s="7"/>
      <c r="AQ180" s="21">
        <f t="shared" si="110"/>
        <v>0</v>
      </c>
      <c r="AR180" s="7"/>
      <c r="AS180" s="21">
        <f t="shared" si="111"/>
        <v>0</v>
      </c>
      <c r="AT180" s="7">
        <v>0.8</v>
      </c>
      <c r="AU180" s="21">
        <f t="shared" si="95"/>
        <v>19742.4</v>
      </c>
      <c r="AV180" s="16"/>
    </row>
    <row r="181" spans="1:48" ht="12.75">
      <c r="A181" s="6">
        <f t="shared" si="114"/>
        <v>35</v>
      </c>
      <c r="B181" s="3" t="s">
        <v>92</v>
      </c>
      <c r="C181" s="43">
        <v>2026.4</v>
      </c>
      <c r="D181" s="5">
        <f t="shared" si="77"/>
        <v>5.18</v>
      </c>
      <c r="E181" s="5"/>
      <c r="F181" s="7">
        <f t="shared" si="117"/>
        <v>3.18</v>
      </c>
      <c r="G181" s="2">
        <v>0.54</v>
      </c>
      <c r="H181" s="2">
        <f t="shared" si="97"/>
        <v>13131.072</v>
      </c>
      <c r="I181" s="2">
        <v>0.4</v>
      </c>
      <c r="J181" s="2">
        <f t="shared" si="98"/>
        <v>9726.720000000001</v>
      </c>
      <c r="K181" s="2"/>
      <c r="L181" s="2">
        <f t="shared" si="99"/>
        <v>0</v>
      </c>
      <c r="M181" s="2">
        <v>1.94</v>
      </c>
      <c r="N181" s="2">
        <f t="shared" si="100"/>
        <v>47174.592</v>
      </c>
      <c r="O181" s="2"/>
      <c r="P181" s="2">
        <f t="shared" si="101"/>
        <v>0</v>
      </c>
      <c r="Q181" s="2"/>
      <c r="R181" s="2">
        <f t="shared" si="102"/>
        <v>0</v>
      </c>
      <c r="S181" s="2">
        <v>0.2</v>
      </c>
      <c r="T181" s="21">
        <f t="shared" si="103"/>
        <v>4863.360000000001</v>
      </c>
      <c r="U181" s="21">
        <v>0.1</v>
      </c>
      <c r="V181" s="21">
        <f t="shared" si="85"/>
        <v>2431.6800000000003</v>
      </c>
      <c r="W181" s="6">
        <f t="shared" si="115"/>
        <v>35</v>
      </c>
      <c r="X181" s="3" t="s">
        <v>92</v>
      </c>
      <c r="Y181" s="43">
        <v>2026.4</v>
      </c>
      <c r="Z181" s="32">
        <f t="shared" si="86"/>
        <v>2</v>
      </c>
      <c r="AA181" s="21">
        <v>0.4</v>
      </c>
      <c r="AB181" s="21">
        <f t="shared" si="104"/>
        <v>9726.720000000001</v>
      </c>
      <c r="AC181" s="21">
        <v>0.6</v>
      </c>
      <c r="AD181" s="21">
        <f t="shared" si="105"/>
        <v>14590.079999999998</v>
      </c>
      <c r="AE181" s="21">
        <v>0.6</v>
      </c>
      <c r="AF181" s="21">
        <f t="shared" si="106"/>
        <v>14590.079999999998</v>
      </c>
      <c r="AG181" s="21">
        <v>0.3</v>
      </c>
      <c r="AH181" s="21">
        <f t="shared" si="107"/>
        <v>7295.039999999999</v>
      </c>
      <c r="AI181" s="21">
        <v>0.1</v>
      </c>
      <c r="AJ181" s="21">
        <f t="shared" si="76"/>
        <v>2431.6800000000003</v>
      </c>
      <c r="AK181" s="32">
        <f t="shared" si="90"/>
        <v>0</v>
      </c>
      <c r="AL181" s="7"/>
      <c r="AM181" s="21">
        <f t="shared" si="108"/>
        <v>0</v>
      </c>
      <c r="AN181" s="6"/>
      <c r="AO181" s="21">
        <f t="shared" si="109"/>
        <v>0</v>
      </c>
      <c r="AP181" s="7"/>
      <c r="AQ181" s="21">
        <f t="shared" si="110"/>
        <v>0</v>
      </c>
      <c r="AR181" s="7"/>
      <c r="AS181" s="21">
        <f t="shared" si="111"/>
        <v>0</v>
      </c>
      <c r="AT181" s="7"/>
      <c r="AU181" s="21">
        <f t="shared" si="95"/>
        <v>0</v>
      </c>
      <c r="AV181" s="16"/>
    </row>
    <row r="182" spans="1:48" ht="12.75">
      <c r="A182" s="6">
        <f t="shared" si="114"/>
        <v>36</v>
      </c>
      <c r="B182" s="3" t="s">
        <v>218</v>
      </c>
      <c r="C182" s="43">
        <v>2227.6</v>
      </c>
      <c r="D182" s="5">
        <f t="shared" si="77"/>
        <v>4.62</v>
      </c>
      <c r="E182" s="5"/>
      <c r="F182" s="7">
        <f t="shared" si="117"/>
        <v>1.32</v>
      </c>
      <c r="G182" s="2">
        <v>0.5</v>
      </c>
      <c r="H182" s="2">
        <f t="shared" si="97"/>
        <v>13365.599999999999</v>
      </c>
      <c r="I182" s="2">
        <v>0.52</v>
      </c>
      <c r="J182" s="2">
        <f t="shared" si="98"/>
        <v>13900.224000000002</v>
      </c>
      <c r="K182" s="2"/>
      <c r="L182" s="2">
        <f t="shared" si="99"/>
        <v>0</v>
      </c>
      <c r="M182" s="2"/>
      <c r="N182" s="2">
        <f t="shared" si="100"/>
        <v>0</v>
      </c>
      <c r="O182" s="2"/>
      <c r="P182" s="2">
        <f t="shared" si="101"/>
        <v>0</v>
      </c>
      <c r="Q182" s="2"/>
      <c r="R182" s="2">
        <f t="shared" si="102"/>
        <v>0</v>
      </c>
      <c r="S182" s="2">
        <v>0.2</v>
      </c>
      <c r="T182" s="21">
        <f t="shared" si="103"/>
        <v>5346.24</v>
      </c>
      <c r="U182" s="21">
        <v>0.1</v>
      </c>
      <c r="V182" s="21">
        <f t="shared" si="85"/>
        <v>2673.12</v>
      </c>
      <c r="W182" s="6">
        <f t="shared" si="115"/>
        <v>36</v>
      </c>
      <c r="X182" s="3" t="s">
        <v>218</v>
      </c>
      <c r="Y182" s="43">
        <v>2227.6</v>
      </c>
      <c r="Z182" s="32">
        <f t="shared" si="86"/>
        <v>2.3</v>
      </c>
      <c r="AA182" s="21">
        <v>0.5</v>
      </c>
      <c r="AB182" s="21">
        <f t="shared" si="104"/>
        <v>13365.599999999999</v>
      </c>
      <c r="AC182" s="21">
        <v>0.7</v>
      </c>
      <c r="AD182" s="21">
        <f t="shared" si="105"/>
        <v>18711.84</v>
      </c>
      <c r="AE182" s="21">
        <v>0.7</v>
      </c>
      <c r="AF182" s="21">
        <f t="shared" si="106"/>
        <v>18711.84</v>
      </c>
      <c r="AG182" s="21">
        <v>0.3</v>
      </c>
      <c r="AH182" s="21">
        <f t="shared" si="107"/>
        <v>8019.36</v>
      </c>
      <c r="AI182" s="21">
        <v>0.1</v>
      </c>
      <c r="AJ182" s="21">
        <f t="shared" si="76"/>
        <v>2673.12</v>
      </c>
      <c r="AK182" s="32">
        <f t="shared" si="90"/>
        <v>1</v>
      </c>
      <c r="AL182" s="7">
        <v>0.2</v>
      </c>
      <c r="AM182" s="21">
        <f t="shared" si="108"/>
        <v>5346.24</v>
      </c>
      <c r="AN182" s="6"/>
      <c r="AO182" s="21">
        <f t="shared" si="109"/>
        <v>0</v>
      </c>
      <c r="AP182" s="7"/>
      <c r="AQ182" s="21">
        <f t="shared" si="110"/>
        <v>0</v>
      </c>
      <c r="AR182" s="7"/>
      <c r="AS182" s="21">
        <f t="shared" si="111"/>
        <v>0</v>
      </c>
      <c r="AT182" s="7">
        <v>0.8</v>
      </c>
      <c r="AU182" s="21">
        <f t="shared" si="95"/>
        <v>21384.96</v>
      </c>
      <c r="AV182" s="16"/>
    </row>
    <row r="183" spans="1:48" ht="12.75">
      <c r="A183" s="6">
        <f t="shared" si="114"/>
        <v>37</v>
      </c>
      <c r="B183" s="3" t="s">
        <v>93</v>
      </c>
      <c r="C183" s="43">
        <v>4252.9</v>
      </c>
      <c r="D183" s="5">
        <f t="shared" si="77"/>
        <v>4.48</v>
      </c>
      <c r="E183" s="5"/>
      <c r="F183" s="7">
        <f t="shared" si="117"/>
        <v>2.3000000000000003</v>
      </c>
      <c r="G183" s="2">
        <v>0.8</v>
      </c>
      <c r="H183" s="2">
        <f t="shared" si="97"/>
        <v>40827.84</v>
      </c>
      <c r="I183" s="2">
        <v>0.4</v>
      </c>
      <c r="J183" s="2">
        <f t="shared" si="98"/>
        <v>20413.92</v>
      </c>
      <c r="K183" s="2">
        <v>0.2</v>
      </c>
      <c r="L183" s="2">
        <f t="shared" si="99"/>
        <v>10206.96</v>
      </c>
      <c r="M183" s="2">
        <v>0.6</v>
      </c>
      <c r="N183" s="2">
        <f t="shared" si="100"/>
        <v>30620.879999999997</v>
      </c>
      <c r="O183" s="2"/>
      <c r="P183" s="2">
        <f t="shared" si="101"/>
        <v>0</v>
      </c>
      <c r="Q183" s="2"/>
      <c r="R183" s="2">
        <f t="shared" si="102"/>
        <v>0</v>
      </c>
      <c r="S183" s="2">
        <v>0.1</v>
      </c>
      <c r="T183" s="21">
        <f t="shared" si="103"/>
        <v>5103.48</v>
      </c>
      <c r="U183" s="21">
        <v>0.2</v>
      </c>
      <c r="V183" s="21">
        <f t="shared" si="85"/>
        <v>10206.96</v>
      </c>
      <c r="W183" s="6">
        <f t="shared" si="115"/>
        <v>37</v>
      </c>
      <c r="X183" s="3" t="s">
        <v>93</v>
      </c>
      <c r="Y183" s="43">
        <v>4252.9</v>
      </c>
      <c r="Z183" s="32">
        <f t="shared" si="86"/>
        <v>2.18</v>
      </c>
      <c r="AA183" s="21">
        <v>0.5</v>
      </c>
      <c r="AB183" s="21">
        <f t="shared" si="104"/>
        <v>25517.399999999998</v>
      </c>
      <c r="AC183" s="21">
        <v>0.6</v>
      </c>
      <c r="AD183" s="21">
        <f t="shared" si="105"/>
        <v>30620.879999999997</v>
      </c>
      <c r="AE183" s="21">
        <v>0.5</v>
      </c>
      <c r="AF183" s="21">
        <f t="shared" si="106"/>
        <v>25517.399999999998</v>
      </c>
      <c r="AG183" s="21">
        <v>0.38</v>
      </c>
      <c r="AH183" s="21">
        <f t="shared" si="107"/>
        <v>19393.224</v>
      </c>
      <c r="AI183" s="21">
        <v>0.2</v>
      </c>
      <c r="AJ183" s="21">
        <f t="shared" si="76"/>
        <v>10206.96</v>
      </c>
      <c r="AK183" s="32">
        <f t="shared" si="90"/>
        <v>0</v>
      </c>
      <c r="AL183" s="7"/>
      <c r="AM183" s="21">
        <f t="shared" si="108"/>
        <v>0</v>
      </c>
      <c r="AN183" s="6"/>
      <c r="AO183" s="21">
        <f t="shared" si="109"/>
        <v>0</v>
      </c>
      <c r="AP183" s="7"/>
      <c r="AQ183" s="21">
        <f t="shared" si="110"/>
        <v>0</v>
      </c>
      <c r="AR183" s="7"/>
      <c r="AS183" s="21">
        <f t="shared" si="111"/>
        <v>0</v>
      </c>
      <c r="AT183" s="7"/>
      <c r="AU183" s="21">
        <f t="shared" si="95"/>
        <v>0</v>
      </c>
      <c r="AV183" s="16"/>
    </row>
    <row r="184" spans="1:48" ht="12.75">
      <c r="A184" s="6">
        <f t="shared" si="114"/>
        <v>38</v>
      </c>
      <c r="B184" s="3" t="s">
        <v>219</v>
      </c>
      <c r="C184" s="43">
        <v>2240.6</v>
      </c>
      <c r="D184" s="5">
        <f t="shared" si="77"/>
        <v>5.2700000000000005</v>
      </c>
      <c r="E184" s="5"/>
      <c r="F184" s="7">
        <f t="shared" si="117"/>
        <v>3.1600000000000006</v>
      </c>
      <c r="G184" s="2">
        <v>0.7</v>
      </c>
      <c r="H184" s="2">
        <f t="shared" si="97"/>
        <v>18821.039999999997</v>
      </c>
      <c r="I184" s="2">
        <v>0.36</v>
      </c>
      <c r="J184" s="2">
        <f t="shared" si="98"/>
        <v>9679.392</v>
      </c>
      <c r="K184" s="2"/>
      <c r="L184" s="2">
        <f t="shared" si="99"/>
        <v>0</v>
      </c>
      <c r="M184" s="2">
        <v>1.8</v>
      </c>
      <c r="N184" s="2">
        <f t="shared" si="100"/>
        <v>48396.96</v>
      </c>
      <c r="O184" s="2"/>
      <c r="P184" s="2">
        <f t="shared" si="101"/>
        <v>0</v>
      </c>
      <c r="Q184" s="2"/>
      <c r="R184" s="2">
        <f t="shared" si="102"/>
        <v>0</v>
      </c>
      <c r="S184" s="2">
        <v>0.2</v>
      </c>
      <c r="T184" s="21">
        <f t="shared" si="103"/>
        <v>5377.4400000000005</v>
      </c>
      <c r="U184" s="21">
        <v>0.1</v>
      </c>
      <c r="V184" s="21">
        <f t="shared" si="85"/>
        <v>2688.7200000000003</v>
      </c>
      <c r="W184" s="6">
        <f t="shared" si="115"/>
        <v>38</v>
      </c>
      <c r="X184" s="3" t="s">
        <v>219</v>
      </c>
      <c r="Y184" s="43">
        <v>2240.6</v>
      </c>
      <c r="Z184" s="32">
        <f t="shared" si="86"/>
        <v>2.11</v>
      </c>
      <c r="AA184" s="21">
        <v>0.6</v>
      </c>
      <c r="AB184" s="21">
        <f t="shared" si="104"/>
        <v>16132.32</v>
      </c>
      <c r="AC184" s="21">
        <v>0.66</v>
      </c>
      <c r="AD184" s="21">
        <f t="shared" si="105"/>
        <v>17745.552</v>
      </c>
      <c r="AE184" s="21">
        <v>0.45</v>
      </c>
      <c r="AF184" s="21">
        <f t="shared" si="106"/>
        <v>12099.24</v>
      </c>
      <c r="AG184" s="21">
        <v>0.3</v>
      </c>
      <c r="AH184" s="21">
        <f t="shared" si="107"/>
        <v>8066.16</v>
      </c>
      <c r="AI184" s="21">
        <v>0.1</v>
      </c>
      <c r="AJ184" s="21">
        <f t="shared" si="76"/>
        <v>2688.7200000000003</v>
      </c>
      <c r="AK184" s="32">
        <f t="shared" si="90"/>
        <v>0</v>
      </c>
      <c r="AL184" s="7"/>
      <c r="AM184" s="21">
        <f t="shared" si="108"/>
        <v>0</v>
      </c>
      <c r="AN184" s="6"/>
      <c r="AO184" s="21">
        <f t="shared" si="109"/>
        <v>0</v>
      </c>
      <c r="AP184" s="7"/>
      <c r="AQ184" s="21">
        <f t="shared" si="110"/>
        <v>0</v>
      </c>
      <c r="AR184" s="7"/>
      <c r="AS184" s="21">
        <f t="shared" si="111"/>
        <v>0</v>
      </c>
      <c r="AT184" s="7"/>
      <c r="AU184" s="21">
        <f t="shared" si="95"/>
        <v>0</v>
      </c>
      <c r="AV184" s="16"/>
    </row>
    <row r="185" spans="1:48" ht="12.75">
      <c r="A185" s="6">
        <f t="shared" si="114"/>
        <v>39</v>
      </c>
      <c r="B185" s="3" t="s">
        <v>94</v>
      </c>
      <c r="C185" s="170">
        <v>2086</v>
      </c>
      <c r="D185" s="5">
        <f t="shared" si="77"/>
        <v>5.5600000000000005</v>
      </c>
      <c r="E185" s="5"/>
      <c r="F185" s="7">
        <f t="shared" si="117"/>
        <v>2.7000000000000006</v>
      </c>
      <c r="G185" s="2">
        <v>0.4</v>
      </c>
      <c r="H185" s="2">
        <f t="shared" si="97"/>
        <v>10012.800000000001</v>
      </c>
      <c r="I185" s="2">
        <v>0.2</v>
      </c>
      <c r="J185" s="2">
        <f t="shared" si="98"/>
        <v>5006.400000000001</v>
      </c>
      <c r="K185" s="2"/>
      <c r="L185" s="2">
        <f t="shared" si="99"/>
        <v>0</v>
      </c>
      <c r="M185" s="2">
        <v>1.8</v>
      </c>
      <c r="N185" s="2">
        <f t="shared" si="100"/>
        <v>45057.600000000006</v>
      </c>
      <c r="O185" s="2"/>
      <c r="P185" s="2">
        <f t="shared" si="101"/>
        <v>0</v>
      </c>
      <c r="Q185" s="2"/>
      <c r="R185" s="2">
        <f t="shared" si="102"/>
        <v>0</v>
      </c>
      <c r="S185" s="2">
        <v>0.2</v>
      </c>
      <c r="T185" s="21">
        <f t="shared" si="103"/>
        <v>5006.400000000001</v>
      </c>
      <c r="U185" s="21">
        <v>0.1</v>
      </c>
      <c r="V185" s="21">
        <f t="shared" si="85"/>
        <v>2503.2000000000003</v>
      </c>
      <c r="W185" s="6">
        <f t="shared" si="115"/>
        <v>39</v>
      </c>
      <c r="X185" s="3" t="s">
        <v>94</v>
      </c>
      <c r="Y185" s="170">
        <v>2086</v>
      </c>
      <c r="Z185" s="32">
        <f t="shared" si="86"/>
        <v>2.06</v>
      </c>
      <c r="AA185" s="21">
        <v>0.46</v>
      </c>
      <c r="AB185" s="21">
        <f t="shared" si="104"/>
        <v>11514.720000000001</v>
      </c>
      <c r="AC185" s="21">
        <v>0.6</v>
      </c>
      <c r="AD185" s="21">
        <f t="shared" si="105"/>
        <v>15019.199999999999</v>
      </c>
      <c r="AE185" s="21">
        <v>0.6</v>
      </c>
      <c r="AF185" s="21">
        <f t="shared" si="106"/>
        <v>15019.199999999999</v>
      </c>
      <c r="AG185" s="21">
        <v>0.3</v>
      </c>
      <c r="AH185" s="21">
        <f t="shared" si="107"/>
        <v>7509.599999999999</v>
      </c>
      <c r="AI185" s="21">
        <v>0.1</v>
      </c>
      <c r="AJ185" s="21">
        <f t="shared" si="76"/>
        <v>2503.2000000000003</v>
      </c>
      <c r="AK185" s="32">
        <f t="shared" si="90"/>
        <v>0.8</v>
      </c>
      <c r="AL185" s="7"/>
      <c r="AM185" s="21">
        <f t="shared" si="108"/>
        <v>0</v>
      </c>
      <c r="AN185" s="6"/>
      <c r="AO185" s="21">
        <f t="shared" si="109"/>
        <v>0</v>
      </c>
      <c r="AP185" s="7"/>
      <c r="AQ185" s="21">
        <f t="shared" si="110"/>
        <v>0</v>
      </c>
      <c r="AR185" s="7"/>
      <c r="AS185" s="21">
        <f t="shared" si="111"/>
        <v>0</v>
      </c>
      <c r="AT185" s="7">
        <v>0.8</v>
      </c>
      <c r="AU185" s="21">
        <f t="shared" si="95"/>
        <v>20025.600000000002</v>
      </c>
      <c r="AV185" s="16"/>
    </row>
    <row r="186" spans="1:48" ht="12.75">
      <c r="A186" s="6">
        <f t="shared" si="114"/>
        <v>40</v>
      </c>
      <c r="B186" s="3" t="s">
        <v>220</v>
      </c>
      <c r="C186" s="170">
        <v>1306</v>
      </c>
      <c r="D186" s="5">
        <f t="shared" si="77"/>
        <v>4.46</v>
      </c>
      <c r="E186" s="5"/>
      <c r="F186" s="7">
        <f t="shared" si="117"/>
        <v>1.56</v>
      </c>
      <c r="G186" s="2">
        <v>0.63</v>
      </c>
      <c r="H186" s="2">
        <f t="shared" si="97"/>
        <v>9873.36</v>
      </c>
      <c r="I186" s="2">
        <v>0.63</v>
      </c>
      <c r="J186" s="2">
        <f t="shared" si="98"/>
        <v>9873.36</v>
      </c>
      <c r="K186" s="2"/>
      <c r="L186" s="2">
        <f t="shared" si="99"/>
        <v>0</v>
      </c>
      <c r="M186" s="2"/>
      <c r="N186" s="2">
        <f t="shared" si="100"/>
        <v>0</v>
      </c>
      <c r="O186" s="2"/>
      <c r="P186" s="2">
        <f t="shared" si="101"/>
        <v>0</v>
      </c>
      <c r="Q186" s="2"/>
      <c r="R186" s="2">
        <f t="shared" si="102"/>
        <v>0</v>
      </c>
      <c r="S186" s="2">
        <v>0.2</v>
      </c>
      <c r="T186" s="21">
        <f t="shared" si="103"/>
        <v>3134.3999999999996</v>
      </c>
      <c r="U186" s="21">
        <v>0.1</v>
      </c>
      <c r="V186" s="21">
        <f t="shared" si="85"/>
        <v>1567.1999999999998</v>
      </c>
      <c r="W186" s="6">
        <f t="shared" si="115"/>
        <v>40</v>
      </c>
      <c r="X186" s="3" t="s">
        <v>220</v>
      </c>
      <c r="Y186" s="170">
        <v>1306</v>
      </c>
      <c r="Z186" s="32">
        <f t="shared" si="86"/>
        <v>2.1</v>
      </c>
      <c r="AA186" s="21">
        <v>0.4</v>
      </c>
      <c r="AB186" s="21">
        <f t="shared" si="104"/>
        <v>6268.799999999999</v>
      </c>
      <c r="AC186" s="21">
        <v>0.6</v>
      </c>
      <c r="AD186" s="21">
        <f t="shared" si="105"/>
        <v>9403.2</v>
      </c>
      <c r="AE186" s="21">
        <v>0.6</v>
      </c>
      <c r="AF186" s="21">
        <f t="shared" si="106"/>
        <v>9403.2</v>
      </c>
      <c r="AG186" s="21">
        <v>0.4</v>
      </c>
      <c r="AH186" s="21">
        <f t="shared" si="107"/>
        <v>6268.799999999999</v>
      </c>
      <c r="AI186" s="21">
        <v>0.1</v>
      </c>
      <c r="AJ186" s="21">
        <f t="shared" si="76"/>
        <v>1567.1999999999998</v>
      </c>
      <c r="AK186" s="32">
        <f t="shared" si="90"/>
        <v>0.8</v>
      </c>
      <c r="AL186" s="7"/>
      <c r="AM186" s="21">
        <f t="shared" si="108"/>
        <v>0</v>
      </c>
      <c r="AN186" s="6">
        <v>0.8</v>
      </c>
      <c r="AO186" s="21">
        <f t="shared" si="109"/>
        <v>12537.599999999999</v>
      </c>
      <c r="AP186" s="7"/>
      <c r="AQ186" s="21">
        <f t="shared" si="110"/>
        <v>0</v>
      </c>
      <c r="AR186" s="7"/>
      <c r="AS186" s="21">
        <f t="shared" si="111"/>
        <v>0</v>
      </c>
      <c r="AT186" s="7"/>
      <c r="AU186" s="21">
        <f t="shared" si="95"/>
        <v>0</v>
      </c>
      <c r="AV186" s="16"/>
    </row>
    <row r="187" spans="1:48" ht="12.75">
      <c r="A187" s="6">
        <f t="shared" si="114"/>
        <v>41</v>
      </c>
      <c r="B187" s="3" t="s">
        <v>221</v>
      </c>
      <c r="C187" s="43">
        <v>1314.9</v>
      </c>
      <c r="D187" s="5">
        <f t="shared" si="77"/>
        <v>4.29</v>
      </c>
      <c r="E187" s="5"/>
      <c r="F187" s="7">
        <f t="shared" si="117"/>
        <v>2.24</v>
      </c>
      <c r="G187" s="2">
        <v>0.7</v>
      </c>
      <c r="H187" s="2">
        <f t="shared" si="97"/>
        <v>11045.16</v>
      </c>
      <c r="I187" s="2">
        <v>0.7</v>
      </c>
      <c r="J187" s="2">
        <f t="shared" si="98"/>
        <v>11045.16</v>
      </c>
      <c r="K187" s="2"/>
      <c r="L187" s="2">
        <f t="shared" si="99"/>
        <v>0</v>
      </c>
      <c r="M187" s="2"/>
      <c r="N187" s="2">
        <f t="shared" si="100"/>
        <v>0</v>
      </c>
      <c r="O187" s="2">
        <v>0.54</v>
      </c>
      <c r="P187" s="2">
        <f t="shared" si="101"/>
        <v>8520.552</v>
      </c>
      <c r="Q187" s="2"/>
      <c r="R187" s="2">
        <f t="shared" si="102"/>
        <v>0</v>
      </c>
      <c r="S187" s="2">
        <v>0.2</v>
      </c>
      <c r="T187" s="21">
        <f t="shared" si="103"/>
        <v>3155.76</v>
      </c>
      <c r="U187" s="21">
        <v>0.1</v>
      </c>
      <c r="V187" s="21">
        <f t="shared" si="85"/>
        <v>1577.88</v>
      </c>
      <c r="W187" s="6">
        <f t="shared" si="115"/>
        <v>41</v>
      </c>
      <c r="X187" s="3" t="s">
        <v>221</v>
      </c>
      <c r="Y187" s="43">
        <v>1314.9</v>
      </c>
      <c r="Z187" s="32">
        <f t="shared" si="86"/>
        <v>2.05</v>
      </c>
      <c r="AA187" s="21">
        <v>0.45</v>
      </c>
      <c r="AB187" s="21">
        <f t="shared" si="104"/>
        <v>7100.460000000001</v>
      </c>
      <c r="AC187" s="21">
        <v>0.6</v>
      </c>
      <c r="AD187" s="21">
        <f t="shared" si="105"/>
        <v>9467.28</v>
      </c>
      <c r="AE187" s="21">
        <v>0.6</v>
      </c>
      <c r="AF187" s="21">
        <f t="shared" si="106"/>
        <v>9467.28</v>
      </c>
      <c r="AG187" s="21">
        <v>0.3</v>
      </c>
      <c r="AH187" s="21">
        <f t="shared" si="107"/>
        <v>4733.64</v>
      </c>
      <c r="AI187" s="21">
        <v>0.1</v>
      </c>
      <c r="AJ187" s="21">
        <f aca="true" t="shared" si="118" ref="AJ187:AJ241">AI187*C187*12</f>
        <v>1577.88</v>
      </c>
      <c r="AK187" s="32">
        <f t="shared" si="90"/>
        <v>0</v>
      </c>
      <c r="AL187" s="7"/>
      <c r="AM187" s="21">
        <f t="shared" si="108"/>
        <v>0</v>
      </c>
      <c r="AN187" s="6"/>
      <c r="AO187" s="21">
        <f t="shared" si="109"/>
        <v>0</v>
      </c>
      <c r="AP187" s="7"/>
      <c r="AQ187" s="21">
        <f t="shared" si="110"/>
        <v>0</v>
      </c>
      <c r="AR187" s="7"/>
      <c r="AS187" s="21">
        <f t="shared" si="111"/>
        <v>0</v>
      </c>
      <c r="AT187" s="7"/>
      <c r="AU187" s="21">
        <f t="shared" si="95"/>
        <v>0</v>
      </c>
      <c r="AV187" s="16"/>
    </row>
    <row r="188" spans="1:48" ht="12.75">
      <c r="A188" s="6">
        <f t="shared" si="114"/>
        <v>42</v>
      </c>
      <c r="B188" s="3" t="s">
        <v>95</v>
      </c>
      <c r="C188" s="43">
        <v>5743.2</v>
      </c>
      <c r="D188" s="5">
        <f t="shared" si="77"/>
        <v>5.05</v>
      </c>
      <c r="E188" s="5"/>
      <c r="F188" s="7">
        <f t="shared" si="117"/>
        <v>2.6</v>
      </c>
      <c r="G188" s="2">
        <v>0.7</v>
      </c>
      <c r="H188" s="2">
        <f t="shared" si="97"/>
        <v>48242.88</v>
      </c>
      <c r="I188" s="2">
        <v>0.45</v>
      </c>
      <c r="J188" s="2">
        <f t="shared" si="98"/>
        <v>31013.28</v>
      </c>
      <c r="K188" s="2"/>
      <c r="L188" s="2">
        <f t="shared" si="99"/>
        <v>0</v>
      </c>
      <c r="M188" s="2">
        <v>0.6</v>
      </c>
      <c r="N188" s="2">
        <f t="shared" si="100"/>
        <v>41351.03999999999</v>
      </c>
      <c r="O188" s="2">
        <v>0.5</v>
      </c>
      <c r="P188" s="2">
        <f t="shared" si="101"/>
        <v>34459.2</v>
      </c>
      <c r="Q188" s="2"/>
      <c r="R188" s="2">
        <f t="shared" si="102"/>
        <v>0</v>
      </c>
      <c r="S188" s="2">
        <v>0.2</v>
      </c>
      <c r="T188" s="21">
        <f t="shared" si="103"/>
        <v>13783.68</v>
      </c>
      <c r="U188" s="21">
        <v>0.15</v>
      </c>
      <c r="V188" s="21">
        <f t="shared" si="85"/>
        <v>10337.759999999998</v>
      </c>
      <c r="W188" s="6">
        <f t="shared" si="115"/>
        <v>42</v>
      </c>
      <c r="X188" s="3" t="s">
        <v>95</v>
      </c>
      <c r="Y188" s="43">
        <v>5743.2</v>
      </c>
      <c r="Z188" s="32">
        <f t="shared" si="86"/>
        <v>2.4499999999999997</v>
      </c>
      <c r="AA188" s="21">
        <v>0.5</v>
      </c>
      <c r="AB188" s="21">
        <f t="shared" si="104"/>
        <v>34459.2</v>
      </c>
      <c r="AC188" s="21">
        <v>0.7</v>
      </c>
      <c r="AD188" s="21">
        <f t="shared" si="105"/>
        <v>48242.88</v>
      </c>
      <c r="AE188" s="21">
        <v>0.7</v>
      </c>
      <c r="AF188" s="21">
        <f t="shared" si="106"/>
        <v>48242.88</v>
      </c>
      <c r="AG188" s="21">
        <v>0.4</v>
      </c>
      <c r="AH188" s="21">
        <f t="shared" si="107"/>
        <v>27567.36</v>
      </c>
      <c r="AI188" s="21">
        <v>0.15</v>
      </c>
      <c r="AJ188" s="21">
        <f t="shared" si="118"/>
        <v>10337.759999999998</v>
      </c>
      <c r="AK188" s="32">
        <f t="shared" si="90"/>
        <v>0</v>
      </c>
      <c r="AL188" s="7"/>
      <c r="AM188" s="21">
        <f t="shared" si="108"/>
        <v>0</v>
      </c>
      <c r="AN188" s="6"/>
      <c r="AO188" s="21">
        <f t="shared" si="109"/>
        <v>0</v>
      </c>
      <c r="AP188" s="7"/>
      <c r="AQ188" s="21">
        <f t="shared" si="110"/>
        <v>0</v>
      </c>
      <c r="AR188" s="7"/>
      <c r="AS188" s="21">
        <f t="shared" si="111"/>
        <v>0</v>
      </c>
      <c r="AT188" s="7"/>
      <c r="AU188" s="21">
        <f t="shared" si="95"/>
        <v>0</v>
      </c>
      <c r="AV188" s="16"/>
    </row>
    <row r="189" spans="1:48" ht="12.75">
      <c r="A189" s="6">
        <f t="shared" si="114"/>
        <v>43</v>
      </c>
      <c r="B189" s="3" t="s">
        <v>96</v>
      </c>
      <c r="C189" s="43">
        <v>1149.7</v>
      </c>
      <c r="D189" s="5">
        <f t="shared" si="77"/>
        <v>4.95</v>
      </c>
      <c r="E189" s="5"/>
      <c r="F189" s="7">
        <f t="shared" si="117"/>
        <v>1.35</v>
      </c>
      <c r="G189" s="2">
        <v>0.4</v>
      </c>
      <c r="H189" s="2">
        <f t="shared" si="97"/>
        <v>5518.56</v>
      </c>
      <c r="I189" s="2">
        <v>0.65</v>
      </c>
      <c r="J189" s="2">
        <f t="shared" si="98"/>
        <v>8967.66</v>
      </c>
      <c r="K189" s="2"/>
      <c r="L189" s="2">
        <f t="shared" si="99"/>
        <v>0</v>
      </c>
      <c r="M189" s="2"/>
      <c r="N189" s="2">
        <f t="shared" si="100"/>
        <v>0</v>
      </c>
      <c r="O189" s="2"/>
      <c r="P189" s="2">
        <f t="shared" si="101"/>
        <v>0</v>
      </c>
      <c r="Q189" s="2"/>
      <c r="R189" s="2">
        <f t="shared" si="102"/>
        <v>0</v>
      </c>
      <c r="S189" s="2">
        <v>0.2</v>
      </c>
      <c r="T189" s="21">
        <f t="shared" si="103"/>
        <v>2759.28</v>
      </c>
      <c r="U189" s="21">
        <v>0.1</v>
      </c>
      <c r="V189" s="21">
        <f t="shared" si="85"/>
        <v>1379.64</v>
      </c>
      <c r="W189" s="6">
        <f t="shared" si="115"/>
        <v>43</v>
      </c>
      <c r="X189" s="3" t="s">
        <v>96</v>
      </c>
      <c r="Y189" s="43">
        <v>1149.7</v>
      </c>
      <c r="Z189" s="32">
        <f t="shared" si="86"/>
        <v>1.6</v>
      </c>
      <c r="AA189" s="21">
        <v>0.5</v>
      </c>
      <c r="AB189" s="21">
        <f t="shared" si="104"/>
        <v>6898.200000000001</v>
      </c>
      <c r="AC189" s="21">
        <v>0.4</v>
      </c>
      <c r="AD189" s="21">
        <f t="shared" si="105"/>
        <v>5518.56</v>
      </c>
      <c r="AE189" s="21">
        <v>0.4</v>
      </c>
      <c r="AF189" s="21">
        <f t="shared" si="106"/>
        <v>5518.56</v>
      </c>
      <c r="AG189" s="21">
        <v>0.2</v>
      </c>
      <c r="AH189" s="21">
        <f t="shared" si="107"/>
        <v>2759.28</v>
      </c>
      <c r="AI189" s="21">
        <v>0.1</v>
      </c>
      <c r="AJ189" s="21">
        <f t="shared" si="118"/>
        <v>1379.64</v>
      </c>
      <c r="AK189" s="32">
        <f t="shared" si="90"/>
        <v>2</v>
      </c>
      <c r="AL189" s="7"/>
      <c r="AM189" s="21">
        <f t="shared" si="108"/>
        <v>0</v>
      </c>
      <c r="AN189" s="6">
        <v>1</v>
      </c>
      <c r="AO189" s="21">
        <f t="shared" si="109"/>
        <v>13796.400000000001</v>
      </c>
      <c r="AP189" s="7"/>
      <c r="AQ189" s="21">
        <f t="shared" si="110"/>
        <v>0</v>
      </c>
      <c r="AR189" s="7"/>
      <c r="AS189" s="21">
        <f t="shared" si="111"/>
        <v>0</v>
      </c>
      <c r="AT189" s="7">
        <v>1</v>
      </c>
      <c r="AU189" s="21">
        <f t="shared" si="95"/>
        <v>13796.400000000001</v>
      </c>
      <c r="AV189" s="16"/>
    </row>
    <row r="190" spans="1:48" ht="12.75">
      <c r="A190" s="6">
        <f t="shared" si="114"/>
        <v>44</v>
      </c>
      <c r="B190" s="3" t="s">
        <v>97</v>
      </c>
      <c r="C190" s="43">
        <v>4127.8</v>
      </c>
      <c r="D190" s="5">
        <f t="shared" si="77"/>
        <v>4.460000000000001</v>
      </c>
      <c r="E190" s="5"/>
      <c r="F190" s="7">
        <f t="shared" si="117"/>
        <v>2.2600000000000002</v>
      </c>
      <c r="G190" s="2">
        <v>0.8</v>
      </c>
      <c r="H190" s="2">
        <f t="shared" si="97"/>
        <v>39626.880000000005</v>
      </c>
      <c r="I190" s="2">
        <v>0.56</v>
      </c>
      <c r="J190" s="2">
        <f t="shared" si="98"/>
        <v>27738.816000000003</v>
      </c>
      <c r="K190" s="2"/>
      <c r="L190" s="2">
        <f t="shared" si="99"/>
        <v>0</v>
      </c>
      <c r="M190" s="2">
        <v>0.6</v>
      </c>
      <c r="N190" s="2">
        <f t="shared" si="100"/>
        <v>29720.159999999996</v>
      </c>
      <c r="O190" s="2"/>
      <c r="P190" s="2">
        <f t="shared" si="101"/>
        <v>0</v>
      </c>
      <c r="Q190" s="2"/>
      <c r="R190" s="2">
        <f t="shared" si="102"/>
        <v>0</v>
      </c>
      <c r="S190" s="2">
        <v>0.2</v>
      </c>
      <c r="T190" s="21">
        <f t="shared" si="103"/>
        <v>9906.720000000001</v>
      </c>
      <c r="U190" s="21">
        <v>0.1</v>
      </c>
      <c r="V190" s="21">
        <f t="shared" si="85"/>
        <v>4953.360000000001</v>
      </c>
      <c r="W190" s="6">
        <f t="shared" si="115"/>
        <v>44</v>
      </c>
      <c r="X190" s="3" t="s">
        <v>97</v>
      </c>
      <c r="Y190" s="43">
        <v>4127.8</v>
      </c>
      <c r="Z190" s="32">
        <f t="shared" si="86"/>
        <v>2.2</v>
      </c>
      <c r="AA190" s="21">
        <v>0.5</v>
      </c>
      <c r="AB190" s="21">
        <f t="shared" si="104"/>
        <v>24766.800000000003</v>
      </c>
      <c r="AC190" s="21">
        <v>0.6</v>
      </c>
      <c r="AD190" s="21">
        <f t="shared" si="105"/>
        <v>29720.159999999996</v>
      </c>
      <c r="AE190" s="21">
        <v>0.6</v>
      </c>
      <c r="AF190" s="21">
        <f t="shared" si="106"/>
        <v>29720.159999999996</v>
      </c>
      <c r="AG190" s="21">
        <v>0.4</v>
      </c>
      <c r="AH190" s="21">
        <f t="shared" si="107"/>
        <v>19813.440000000002</v>
      </c>
      <c r="AI190" s="21">
        <v>0.1</v>
      </c>
      <c r="AJ190" s="21">
        <f t="shared" si="118"/>
        <v>4953.360000000001</v>
      </c>
      <c r="AK190" s="32">
        <f t="shared" si="90"/>
        <v>0</v>
      </c>
      <c r="AL190" s="7"/>
      <c r="AM190" s="21">
        <f t="shared" si="108"/>
        <v>0</v>
      </c>
      <c r="AN190" s="6"/>
      <c r="AO190" s="21">
        <f t="shared" si="109"/>
        <v>0</v>
      </c>
      <c r="AP190" s="7"/>
      <c r="AQ190" s="21">
        <f t="shared" si="110"/>
        <v>0</v>
      </c>
      <c r="AR190" s="7"/>
      <c r="AS190" s="21">
        <f t="shared" si="111"/>
        <v>0</v>
      </c>
      <c r="AT190" s="7"/>
      <c r="AU190" s="21">
        <f t="shared" si="95"/>
        <v>0</v>
      </c>
      <c r="AV190" s="16"/>
    </row>
    <row r="191" spans="1:48" ht="12.75">
      <c r="A191" s="6">
        <f t="shared" si="114"/>
        <v>45</v>
      </c>
      <c r="B191" s="3" t="s">
        <v>222</v>
      </c>
      <c r="C191" s="43">
        <v>6221.7</v>
      </c>
      <c r="D191" s="5">
        <f t="shared" si="77"/>
        <v>5.38</v>
      </c>
      <c r="E191" s="5"/>
      <c r="F191" s="7">
        <f t="shared" si="117"/>
        <v>1.9</v>
      </c>
      <c r="G191" s="2">
        <v>0.8</v>
      </c>
      <c r="H191" s="2">
        <f t="shared" si="97"/>
        <v>59728.32000000001</v>
      </c>
      <c r="I191" s="2">
        <v>0.6</v>
      </c>
      <c r="J191" s="2">
        <f t="shared" si="98"/>
        <v>44796.23999999999</v>
      </c>
      <c r="K191" s="2"/>
      <c r="L191" s="2">
        <f t="shared" si="99"/>
        <v>0</v>
      </c>
      <c r="M191" s="2">
        <v>0.2</v>
      </c>
      <c r="N191" s="2">
        <f t="shared" si="100"/>
        <v>14932.080000000002</v>
      </c>
      <c r="O191" s="2"/>
      <c r="P191" s="2">
        <f t="shared" si="101"/>
        <v>0</v>
      </c>
      <c r="Q191" s="2"/>
      <c r="R191" s="2">
        <f t="shared" si="102"/>
        <v>0</v>
      </c>
      <c r="S191" s="2">
        <v>0.2</v>
      </c>
      <c r="T191" s="21">
        <f t="shared" si="103"/>
        <v>14932.080000000002</v>
      </c>
      <c r="U191" s="21">
        <v>0.1</v>
      </c>
      <c r="V191" s="21">
        <f t="shared" si="85"/>
        <v>7466.040000000001</v>
      </c>
      <c r="W191" s="6">
        <f t="shared" si="115"/>
        <v>45</v>
      </c>
      <c r="X191" s="3" t="s">
        <v>222</v>
      </c>
      <c r="Y191" s="43">
        <v>6221.7</v>
      </c>
      <c r="Z191" s="32">
        <f t="shared" si="86"/>
        <v>2.08</v>
      </c>
      <c r="AA191" s="21">
        <v>0.4</v>
      </c>
      <c r="AB191" s="21">
        <f t="shared" si="104"/>
        <v>29864.160000000003</v>
      </c>
      <c r="AC191" s="21">
        <v>0.6</v>
      </c>
      <c r="AD191" s="21">
        <f t="shared" si="105"/>
        <v>44796.23999999999</v>
      </c>
      <c r="AE191" s="21">
        <v>0.6</v>
      </c>
      <c r="AF191" s="21">
        <f t="shared" si="106"/>
        <v>44796.23999999999</v>
      </c>
      <c r="AG191" s="21">
        <v>0.38</v>
      </c>
      <c r="AH191" s="21">
        <f t="shared" si="107"/>
        <v>28370.952</v>
      </c>
      <c r="AI191" s="21">
        <v>0.1</v>
      </c>
      <c r="AJ191" s="21">
        <f t="shared" si="118"/>
        <v>7466.040000000001</v>
      </c>
      <c r="AK191" s="32">
        <f t="shared" si="90"/>
        <v>1.4</v>
      </c>
      <c r="AL191" s="7"/>
      <c r="AM191" s="21">
        <f t="shared" si="108"/>
        <v>0</v>
      </c>
      <c r="AN191" s="6">
        <v>1.4</v>
      </c>
      <c r="AO191" s="21">
        <f t="shared" si="109"/>
        <v>104524.56</v>
      </c>
      <c r="AP191" s="7"/>
      <c r="AQ191" s="21">
        <f>AP191*C191*12</f>
        <v>0</v>
      </c>
      <c r="AR191" s="7"/>
      <c r="AS191" s="21">
        <f t="shared" si="111"/>
        <v>0</v>
      </c>
      <c r="AT191" s="7"/>
      <c r="AU191" s="21">
        <f>AT191*C191*12</f>
        <v>0</v>
      </c>
      <c r="AV191" s="16"/>
    </row>
    <row r="192" spans="1:48" ht="12.75">
      <c r="A192" s="6"/>
      <c r="B192" s="25" t="s">
        <v>98</v>
      </c>
      <c r="C192" s="178">
        <f>SUM(C193:C243)</f>
        <v>142928.28000000003</v>
      </c>
      <c r="D192" s="5"/>
      <c r="E192" s="5"/>
      <c r="F192" s="7"/>
      <c r="G192" s="202">
        <f>H192/C192/12</f>
        <v>0.7889225841100164</v>
      </c>
      <c r="H192" s="24">
        <f>SUM(H193:H242)</f>
        <v>1353112.176</v>
      </c>
      <c r="I192" s="2">
        <f>J192/C192/12</f>
        <v>0.6939733900107102</v>
      </c>
      <c r="J192" s="24">
        <f>SUM(J193:J242)</f>
        <v>1190261.0760000001</v>
      </c>
      <c r="K192" s="190">
        <f>L192/C192/12</f>
        <v>0</v>
      </c>
      <c r="L192" s="24">
        <f>SUM(L193:L242)</f>
        <v>0</v>
      </c>
      <c r="M192" s="190">
        <f>N192/C192/12</f>
        <v>0.8003768435469872</v>
      </c>
      <c r="N192" s="24">
        <f>SUM(N193:N242)</f>
        <v>1372757.8272</v>
      </c>
      <c r="O192" s="190">
        <f>P192/C192/12</f>
        <v>0</v>
      </c>
      <c r="P192" s="24">
        <f>SUM(P193:P242)</f>
        <v>0</v>
      </c>
      <c r="Q192" s="190">
        <f>R192/C192/12</f>
        <v>0</v>
      </c>
      <c r="R192" s="24">
        <f>SUM(R193:R242)</f>
        <v>0</v>
      </c>
      <c r="S192" s="2">
        <f>T192/C192/12</f>
        <v>0.18736202240732205</v>
      </c>
      <c r="T192" s="24">
        <f>SUM(T193:T242)</f>
        <v>321351.97920000006</v>
      </c>
      <c r="U192" s="190">
        <f>V192/C192/12</f>
        <v>0.21321541825032805</v>
      </c>
      <c r="V192" s="26">
        <f>SUM(V193:V242)</f>
        <v>365694.156</v>
      </c>
      <c r="W192" s="6"/>
      <c r="X192" s="25" t="s">
        <v>98</v>
      </c>
      <c r="Y192" s="178">
        <f>SUM(Y193:Y243)</f>
        <v>142928.28000000003</v>
      </c>
      <c r="Z192" s="32">
        <f t="shared" si="86"/>
        <v>2.7708401675301766</v>
      </c>
      <c r="AA192" s="2">
        <f>AB192/C192/12</f>
        <v>0.7548034755613097</v>
      </c>
      <c r="AB192" s="26">
        <f>SUM(AB193:AB242)</f>
        <v>1294593.1500000004</v>
      </c>
      <c r="AC192" s="2">
        <f>AD192/C192/12</f>
        <v>0.6316363073843748</v>
      </c>
      <c r="AD192" s="26">
        <f>SUM(AD193:AD242)</f>
        <v>1083344.2920000001</v>
      </c>
      <c r="AE192" s="190">
        <f>AF192/C192/12</f>
        <v>0.5897292684135007</v>
      </c>
      <c r="AF192" s="26">
        <f>SUM(AF193:AF242)</f>
        <v>1011467.88</v>
      </c>
      <c r="AG192" s="190">
        <f>AH192/C192/12</f>
        <v>0.5389074296563283</v>
      </c>
      <c r="AH192" s="26">
        <f>SUM(AH193:AH242)</f>
        <v>924301.3440000002</v>
      </c>
      <c r="AI192" s="190">
        <f>AJ192/C192/12</f>
        <v>0.25576368651466314</v>
      </c>
      <c r="AJ192" s="26">
        <f>SUM(AJ193:AJ242)</f>
        <v>438670.3656000001</v>
      </c>
      <c r="AK192" s="32"/>
      <c r="AL192" s="202">
        <f>AM192/C192/12</f>
        <v>0.3661456515113733</v>
      </c>
      <c r="AM192" s="26">
        <f>SUM(AM193:AM242)</f>
        <v>627990.8184</v>
      </c>
      <c r="AN192" s="202">
        <f>AO192/C192/12</f>
        <v>0.10168099693076832</v>
      </c>
      <c r="AO192" s="26">
        <f>SUM(AO193:AO242)</f>
        <v>174397.08</v>
      </c>
      <c r="AP192" s="202">
        <f>AQ192/C192/12</f>
        <v>0.04208124522312869</v>
      </c>
      <c r="AQ192" s="26">
        <f>SUM(AQ193:AQ242)</f>
        <v>72175.20000000001</v>
      </c>
      <c r="AR192" s="190">
        <f>AS192/C192/12</f>
        <v>0</v>
      </c>
      <c r="AS192" s="26">
        <f>SUM(AS193:AS242)</f>
        <v>0</v>
      </c>
      <c r="AT192" s="190">
        <f>AU192/C192/12</f>
        <v>0.07727410558638219</v>
      </c>
      <c r="AU192" s="26">
        <f>SUM(AU193:AU242)</f>
        <v>132535.86</v>
      </c>
      <c r="AV192" s="16"/>
    </row>
    <row r="193" spans="1:48" ht="12.75">
      <c r="A193" s="6">
        <v>1</v>
      </c>
      <c r="B193" s="3" t="s">
        <v>168</v>
      </c>
      <c r="C193" s="43">
        <v>812.5</v>
      </c>
      <c r="D193" s="5">
        <f t="shared" si="77"/>
        <v>6.550000000000001</v>
      </c>
      <c r="E193" s="5"/>
      <c r="F193" s="7">
        <f aca="true" t="shared" si="119" ref="F193:F222">G193+I193+K193+M193+O193+Q193+S193+U193</f>
        <v>3.75</v>
      </c>
      <c r="G193" s="2">
        <v>0.5</v>
      </c>
      <c r="H193" s="2">
        <f aca="true" t="shared" si="120" ref="H193:H201">G193*C193*12</f>
        <v>4875</v>
      </c>
      <c r="I193" s="2"/>
      <c r="J193" s="2">
        <f aca="true" t="shared" si="121" ref="J193:J201">I193*C193*12</f>
        <v>0</v>
      </c>
      <c r="K193" s="190"/>
      <c r="L193" s="2">
        <f aca="true" t="shared" si="122" ref="L193:L201">K193*C193*12</f>
        <v>0</v>
      </c>
      <c r="M193" s="190">
        <v>2.75</v>
      </c>
      <c r="N193" s="2">
        <f aca="true" t="shared" si="123" ref="N193:N201">M193*C193*12</f>
        <v>26812.5</v>
      </c>
      <c r="O193" s="190"/>
      <c r="P193" s="2">
        <f aca="true" t="shared" si="124" ref="P193:P201">O193*C193*12</f>
        <v>0</v>
      </c>
      <c r="Q193" s="190"/>
      <c r="R193" s="2">
        <f aca="true" t="shared" si="125" ref="R193:R201">Q193*C193*12</f>
        <v>0</v>
      </c>
      <c r="S193" s="2">
        <v>0.2</v>
      </c>
      <c r="T193" s="21">
        <f aca="true" t="shared" si="126" ref="T193:T201">S193*C193*12</f>
        <v>1950</v>
      </c>
      <c r="U193" s="2">
        <v>0.3</v>
      </c>
      <c r="V193" s="21">
        <f t="shared" si="85"/>
        <v>2925</v>
      </c>
      <c r="W193" s="6">
        <v>1</v>
      </c>
      <c r="X193" s="3" t="s">
        <v>168</v>
      </c>
      <c r="Y193" s="43">
        <v>812.5</v>
      </c>
      <c r="Z193" s="32">
        <f t="shared" si="86"/>
        <v>2.8000000000000003</v>
      </c>
      <c r="AA193" s="2">
        <v>0.8</v>
      </c>
      <c r="AB193" s="21">
        <f aca="true" t="shared" si="127" ref="AB193:AB200">AA193*C193*12</f>
        <v>7800</v>
      </c>
      <c r="AC193" s="2">
        <v>0.6</v>
      </c>
      <c r="AD193" s="21">
        <f aca="true" t="shared" si="128" ref="AD193:AD201">AC193*C193*12</f>
        <v>5850</v>
      </c>
      <c r="AE193" s="2">
        <v>0.6</v>
      </c>
      <c r="AF193" s="21">
        <f aca="true" t="shared" si="129" ref="AF193:AF209">AE193*C193*12</f>
        <v>5850</v>
      </c>
      <c r="AG193" s="2">
        <v>0.6</v>
      </c>
      <c r="AH193" s="21">
        <f aca="true" t="shared" si="130" ref="AH193:AH201">AG193*C193*12</f>
        <v>5850</v>
      </c>
      <c r="AI193" s="2">
        <v>0.2</v>
      </c>
      <c r="AJ193" s="21">
        <f t="shared" si="118"/>
        <v>1950</v>
      </c>
      <c r="AK193" s="32">
        <f t="shared" si="90"/>
        <v>0</v>
      </c>
      <c r="AL193" s="2"/>
      <c r="AM193" s="21">
        <f aca="true" t="shared" si="131" ref="AM193:AM201">AL193*C193*12</f>
        <v>0</v>
      </c>
      <c r="AN193" s="190"/>
      <c r="AO193" s="21">
        <f aca="true" t="shared" si="132" ref="AO193:AO201">AN193*C193*12</f>
        <v>0</v>
      </c>
      <c r="AP193" s="190"/>
      <c r="AQ193" s="21">
        <f aca="true" t="shared" si="133" ref="AQ193:AQ242">AP193*C193*12</f>
        <v>0</v>
      </c>
      <c r="AR193" s="190"/>
      <c r="AS193" s="21">
        <f aca="true" t="shared" si="134" ref="AS193:AS201">AR193*C193*12</f>
        <v>0</v>
      </c>
      <c r="AT193" s="190"/>
      <c r="AU193" s="21">
        <f aca="true" t="shared" si="135" ref="AU193:AU242">AT193*C193*12</f>
        <v>0</v>
      </c>
      <c r="AV193" s="16"/>
    </row>
    <row r="194" spans="1:48" ht="12.75">
      <c r="A194" s="6">
        <f>A193+1</f>
        <v>2</v>
      </c>
      <c r="B194" s="3" t="s">
        <v>169</v>
      </c>
      <c r="C194" s="43">
        <v>813.2</v>
      </c>
      <c r="D194" s="5">
        <f t="shared" si="77"/>
        <v>6.550000000000001</v>
      </c>
      <c r="E194" s="5"/>
      <c r="F194" s="7">
        <f t="shared" si="119"/>
        <v>3.75</v>
      </c>
      <c r="G194" s="2">
        <v>0.5</v>
      </c>
      <c r="H194" s="2">
        <f t="shared" si="120"/>
        <v>4879.200000000001</v>
      </c>
      <c r="I194" s="2"/>
      <c r="J194" s="2">
        <f t="shared" si="121"/>
        <v>0</v>
      </c>
      <c r="K194" s="190"/>
      <c r="L194" s="2">
        <f t="shared" si="122"/>
        <v>0</v>
      </c>
      <c r="M194" s="190">
        <v>2.75</v>
      </c>
      <c r="N194" s="2">
        <f t="shared" si="123"/>
        <v>26835.600000000002</v>
      </c>
      <c r="O194" s="190"/>
      <c r="P194" s="2">
        <f t="shared" si="124"/>
        <v>0</v>
      </c>
      <c r="Q194" s="190"/>
      <c r="R194" s="2">
        <f t="shared" si="125"/>
        <v>0</v>
      </c>
      <c r="S194" s="2">
        <v>0.2</v>
      </c>
      <c r="T194" s="21">
        <f t="shared" si="126"/>
        <v>1951.6800000000003</v>
      </c>
      <c r="U194" s="2">
        <v>0.3</v>
      </c>
      <c r="V194" s="21">
        <f t="shared" si="85"/>
        <v>2927.52</v>
      </c>
      <c r="W194" s="6">
        <f>W193+1</f>
        <v>2</v>
      </c>
      <c r="X194" s="3" t="s">
        <v>169</v>
      </c>
      <c r="Y194" s="43">
        <v>813.2</v>
      </c>
      <c r="Z194" s="32">
        <f t="shared" si="86"/>
        <v>2.8000000000000003</v>
      </c>
      <c r="AA194" s="2">
        <v>0.8</v>
      </c>
      <c r="AB194" s="21">
        <f t="shared" si="127"/>
        <v>7806.720000000001</v>
      </c>
      <c r="AC194" s="2">
        <v>0.6</v>
      </c>
      <c r="AD194" s="21">
        <f t="shared" si="128"/>
        <v>5855.04</v>
      </c>
      <c r="AE194" s="2">
        <v>0.6</v>
      </c>
      <c r="AF194" s="21">
        <f t="shared" si="129"/>
        <v>5855.04</v>
      </c>
      <c r="AG194" s="2">
        <v>0.6</v>
      </c>
      <c r="AH194" s="21">
        <f t="shared" si="130"/>
        <v>5855.04</v>
      </c>
      <c r="AI194" s="2">
        <v>0.2</v>
      </c>
      <c r="AJ194" s="21">
        <f t="shared" si="118"/>
        <v>1951.6800000000003</v>
      </c>
      <c r="AK194" s="32">
        <f t="shared" si="90"/>
        <v>0</v>
      </c>
      <c r="AL194" s="2"/>
      <c r="AM194" s="21">
        <f t="shared" si="131"/>
        <v>0</v>
      </c>
      <c r="AN194" s="190"/>
      <c r="AO194" s="21">
        <f t="shared" si="132"/>
        <v>0</v>
      </c>
      <c r="AP194" s="190"/>
      <c r="AQ194" s="21">
        <f t="shared" si="133"/>
        <v>0</v>
      </c>
      <c r="AR194" s="190"/>
      <c r="AS194" s="21">
        <f t="shared" si="134"/>
        <v>0</v>
      </c>
      <c r="AT194" s="190"/>
      <c r="AU194" s="21">
        <f t="shared" si="135"/>
        <v>0</v>
      </c>
      <c r="AV194" s="16"/>
    </row>
    <row r="195" spans="1:48" ht="12.75">
      <c r="A195" s="6">
        <f>A194+1</f>
        <v>3</v>
      </c>
      <c r="B195" s="3" t="s">
        <v>240</v>
      </c>
      <c r="C195" s="43">
        <v>1249.6</v>
      </c>
      <c r="D195" s="5">
        <f t="shared" si="77"/>
        <v>5.76</v>
      </c>
      <c r="E195" s="5"/>
      <c r="F195" s="7">
        <f t="shared" si="119"/>
        <v>2.8000000000000003</v>
      </c>
      <c r="G195" s="2">
        <v>0.5</v>
      </c>
      <c r="H195" s="2">
        <f t="shared" si="120"/>
        <v>7497.599999999999</v>
      </c>
      <c r="I195" s="2">
        <v>2</v>
      </c>
      <c r="J195" s="2">
        <f t="shared" si="121"/>
        <v>29990.399999999998</v>
      </c>
      <c r="K195" s="190"/>
      <c r="L195" s="2">
        <f t="shared" si="122"/>
        <v>0</v>
      </c>
      <c r="M195" s="190"/>
      <c r="N195" s="2">
        <f t="shared" si="123"/>
        <v>0</v>
      </c>
      <c r="O195" s="190"/>
      <c r="P195" s="2">
        <f t="shared" si="124"/>
        <v>0</v>
      </c>
      <c r="Q195" s="190"/>
      <c r="R195" s="2">
        <f t="shared" si="125"/>
        <v>0</v>
      </c>
      <c r="S195" s="2">
        <v>0.1</v>
      </c>
      <c r="T195" s="21">
        <f t="shared" si="126"/>
        <v>1499.52</v>
      </c>
      <c r="U195" s="2">
        <v>0.2</v>
      </c>
      <c r="V195" s="21">
        <f t="shared" si="85"/>
        <v>2999.04</v>
      </c>
      <c r="W195" s="6">
        <f>W194+1</f>
        <v>3</v>
      </c>
      <c r="X195" s="3" t="s">
        <v>240</v>
      </c>
      <c r="Y195" s="43">
        <v>1249.6</v>
      </c>
      <c r="Z195" s="32">
        <f t="shared" si="86"/>
        <v>2.96</v>
      </c>
      <c r="AA195" s="199">
        <f>0.7-0.07</f>
        <v>0.6299999999999999</v>
      </c>
      <c r="AB195" s="201">
        <f t="shared" si="127"/>
        <v>9446.975999999999</v>
      </c>
      <c r="AC195" s="199">
        <f>0.7-0.07</f>
        <v>0.6299999999999999</v>
      </c>
      <c r="AD195" s="21">
        <f t="shared" si="128"/>
        <v>9446.975999999999</v>
      </c>
      <c r="AE195" s="2">
        <v>0.7</v>
      </c>
      <c r="AF195" s="21">
        <f t="shared" si="129"/>
        <v>10496.64</v>
      </c>
      <c r="AG195" s="2">
        <v>0.5</v>
      </c>
      <c r="AH195" s="21">
        <f t="shared" si="130"/>
        <v>7497.599999999999</v>
      </c>
      <c r="AI195" s="2">
        <v>0.5</v>
      </c>
      <c r="AJ195" s="21">
        <f t="shared" si="118"/>
        <v>7497.599999999999</v>
      </c>
      <c r="AK195" s="32">
        <f t="shared" si="90"/>
        <v>0</v>
      </c>
      <c r="AL195" s="2"/>
      <c r="AM195" s="21">
        <f t="shared" si="131"/>
        <v>0</v>
      </c>
      <c r="AN195" s="190"/>
      <c r="AO195" s="21">
        <f t="shared" si="132"/>
        <v>0</v>
      </c>
      <c r="AP195" s="190"/>
      <c r="AQ195" s="21">
        <f t="shared" si="133"/>
        <v>0</v>
      </c>
      <c r="AR195" s="190"/>
      <c r="AS195" s="21">
        <f t="shared" si="134"/>
        <v>0</v>
      </c>
      <c r="AT195" s="190"/>
      <c r="AU195" s="21">
        <f t="shared" si="135"/>
        <v>0</v>
      </c>
      <c r="AV195" s="16"/>
    </row>
    <row r="196" spans="1:48" ht="12.75">
      <c r="A196" s="6"/>
      <c r="B196" s="3" t="s">
        <v>239</v>
      </c>
      <c r="C196" s="43">
        <v>4785.7</v>
      </c>
      <c r="D196" s="5">
        <f t="shared" si="77"/>
        <v>6.09</v>
      </c>
      <c r="E196" s="5"/>
      <c r="F196" s="7">
        <f t="shared" si="119"/>
        <v>3.6</v>
      </c>
      <c r="G196" s="2">
        <v>1</v>
      </c>
      <c r="H196" s="2">
        <f t="shared" si="120"/>
        <v>57428.399999999994</v>
      </c>
      <c r="I196" s="2">
        <v>2.3</v>
      </c>
      <c r="J196" s="2">
        <f t="shared" si="121"/>
        <v>132085.31999999998</v>
      </c>
      <c r="K196" s="190"/>
      <c r="L196" s="2">
        <f t="shared" si="122"/>
        <v>0</v>
      </c>
      <c r="M196" s="190"/>
      <c r="N196" s="2">
        <f t="shared" si="123"/>
        <v>0</v>
      </c>
      <c r="O196" s="190"/>
      <c r="P196" s="2">
        <f t="shared" si="124"/>
        <v>0</v>
      </c>
      <c r="Q196" s="190"/>
      <c r="R196" s="2">
        <f t="shared" si="125"/>
        <v>0</v>
      </c>
      <c r="S196" s="2">
        <v>0.1</v>
      </c>
      <c r="T196" s="21">
        <f t="shared" si="126"/>
        <v>5742.84</v>
      </c>
      <c r="U196" s="2">
        <v>0.2</v>
      </c>
      <c r="V196" s="21">
        <f t="shared" si="85"/>
        <v>11485.68</v>
      </c>
      <c r="W196" s="6"/>
      <c r="X196" s="3" t="s">
        <v>239</v>
      </c>
      <c r="Y196" s="43">
        <v>4785.7</v>
      </c>
      <c r="Z196" s="32">
        <f t="shared" si="86"/>
        <v>2.49</v>
      </c>
      <c r="AA196" s="199">
        <f>0.63-0.07</f>
        <v>0.56</v>
      </c>
      <c r="AB196" s="201">
        <f t="shared" si="127"/>
        <v>32159.904000000002</v>
      </c>
      <c r="AC196" s="199">
        <f>0.6-0.07</f>
        <v>0.53</v>
      </c>
      <c r="AD196" s="21">
        <f t="shared" si="128"/>
        <v>30437.051999999996</v>
      </c>
      <c r="AE196" s="2">
        <v>0.6</v>
      </c>
      <c r="AF196" s="21">
        <f t="shared" si="129"/>
        <v>34457.03999999999</v>
      </c>
      <c r="AG196" s="2">
        <v>0.6</v>
      </c>
      <c r="AH196" s="21">
        <f t="shared" si="130"/>
        <v>34457.03999999999</v>
      </c>
      <c r="AI196" s="2">
        <v>0.2</v>
      </c>
      <c r="AJ196" s="21">
        <f t="shared" si="118"/>
        <v>11485.68</v>
      </c>
      <c r="AK196" s="32">
        <f t="shared" si="90"/>
        <v>0</v>
      </c>
      <c r="AL196" s="2"/>
      <c r="AM196" s="21">
        <f t="shared" si="131"/>
        <v>0</v>
      </c>
      <c r="AN196" s="190"/>
      <c r="AO196" s="21">
        <f t="shared" si="132"/>
        <v>0</v>
      </c>
      <c r="AP196" s="190"/>
      <c r="AQ196" s="21">
        <f t="shared" si="133"/>
        <v>0</v>
      </c>
      <c r="AR196" s="190"/>
      <c r="AS196" s="21">
        <f t="shared" si="134"/>
        <v>0</v>
      </c>
      <c r="AT196" s="190"/>
      <c r="AU196" s="21">
        <f t="shared" si="135"/>
        <v>0</v>
      </c>
      <c r="AV196" s="16"/>
    </row>
    <row r="197" spans="1:48" ht="12.75">
      <c r="A197" s="6">
        <f>A195+1</f>
        <v>4</v>
      </c>
      <c r="B197" s="3" t="s">
        <v>130</v>
      </c>
      <c r="C197" s="43">
        <v>3007.3</v>
      </c>
      <c r="D197" s="5">
        <f t="shared" si="77"/>
        <v>5.8100000000000005</v>
      </c>
      <c r="E197" s="5"/>
      <c r="F197" s="7">
        <f t="shared" si="119"/>
        <v>0.65</v>
      </c>
      <c r="G197" s="2">
        <v>0.4</v>
      </c>
      <c r="H197" s="2">
        <f t="shared" si="120"/>
        <v>14435.04</v>
      </c>
      <c r="I197" s="2"/>
      <c r="J197" s="2">
        <f t="shared" si="121"/>
        <v>0</v>
      </c>
      <c r="K197" s="190"/>
      <c r="L197" s="2">
        <f t="shared" si="122"/>
        <v>0</v>
      </c>
      <c r="M197" s="190"/>
      <c r="N197" s="2">
        <f t="shared" si="123"/>
        <v>0</v>
      </c>
      <c r="O197" s="190"/>
      <c r="P197" s="2">
        <f t="shared" si="124"/>
        <v>0</v>
      </c>
      <c r="Q197" s="190"/>
      <c r="R197" s="2">
        <f t="shared" si="125"/>
        <v>0</v>
      </c>
      <c r="S197" s="2">
        <v>0.15</v>
      </c>
      <c r="T197" s="21">
        <f t="shared" si="126"/>
        <v>5413.14</v>
      </c>
      <c r="U197" s="2">
        <v>0.1</v>
      </c>
      <c r="V197" s="21">
        <f t="shared" si="85"/>
        <v>3608.76</v>
      </c>
      <c r="W197" s="6">
        <f>W195+1</f>
        <v>4</v>
      </c>
      <c r="X197" s="3" t="s">
        <v>130</v>
      </c>
      <c r="Y197" s="43">
        <v>3007.3</v>
      </c>
      <c r="Z197" s="32">
        <f t="shared" si="86"/>
        <v>2.22</v>
      </c>
      <c r="AA197" s="2">
        <v>0.6</v>
      </c>
      <c r="AB197" s="21">
        <f t="shared" si="127"/>
        <v>21652.56</v>
      </c>
      <c r="AC197" s="2">
        <v>0.4</v>
      </c>
      <c r="AD197" s="21">
        <f t="shared" si="128"/>
        <v>14435.04</v>
      </c>
      <c r="AE197" s="2">
        <v>0.4</v>
      </c>
      <c r="AF197" s="21">
        <f t="shared" si="129"/>
        <v>14435.04</v>
      </c>
      <c r="AG197" s="2">
        <v>0.6</v>
      </c>
      <c r="AH197" s="21">
        <f t="shared" si="130"/>
        <v>21652.56</v>
      </c>
      <c r="AI197" s="2">
        <v>0.22</v>
      </c>
      <c r="AJ197" s="21">
        <f t="shared" si="118"/>
        <v>7939.272</v>
      </c>
      <c r="AK197" s="32">
        <f t="shared" si="90"/>
        <v>2.94</v>
      </c>
      <c r="AL197" s="2"/>
      <c r="AM197" s="21">
        <f t="shared" si="131"/>
        <v>0</v>
      </c>
      <c r="AN197" s="190">
        <v>0.94</v>
      </c>
      <c r="AO197" s="21">
        <f t="shared" si="132"/>
        <v>33922.344</v>
      </c>
      <c r="AP197" s="190">
        <v>2</v>
      </c>
      <c r="AQ197" s="21">
        <f t="shared" si="133"/>
        <v>72175.20000000001</v>
      </c>
      <c r="AR197" s="190"/>
      <c r="AS197" s="21">
        <f t="shared" si="134"/>
        <v>0</v>
      </c>
      <c r="AT197" s="190"/>
      <c r="AU197" s="21">
        <f t="shared" si="135"/>
        <v>0</v>
      </c>
      <c r="AV197" s="16"/>
    </row>
    <row r="198" spans="1:48" ht="12.75">
      <c r="A198" s="6">
        <f aca="true" t="shared" si="136" ref="A198:A242">A197+1</f>
        <v>5</v>
      </c>
      <c r="B198" s="3" t="s">
        <v>131</v>
      </c>
      <c r="C198" s="43">
        <v>3966.2</v>
      </c>
      <c r="D198" s="5">
        <f t="shared" si="77"/>
        <v>5.82</v>
      </c>
      <c r="E198" s="5"/>
      <c r="F198" s="7">
        <f t="shared" si="119"/>
        <v>3.1800000000000006</v>
      </c>
      <c r="G198" s="2">
        <v>0.5</v>
      </c>
      <c r="H198" s="2">
        <f t="shared" si="120"/>
        <v>23797.199999999997</v>
      </c>
      <c r="I198" s="2">
        <v>0.5</v>
      </c>
      <c r="J198" s="2">
        <f t="shared" si="121"/>
        <v>23797.199999999997</v>
      </c>
      <c r="K198" s="190"/>
      <c r="L198" s="2">
        <f t="shared" si="122"/>
        <v>0</v>
      </c>
      <c r="M198" s="190">
        <v>1.78</v>
      </c>
      <c r="N198" s="2">
        <f t="shared" si="123"/>
        <v>84718.03199999999</v>
      </c>
      <c r="O198" s="190"/>
      <c r="P198" s="2">
        <f t="shared" si="124"/>
        <v>0</v>
      </c>
      <c r="Q198" s="190"/>
      <c r="R198" s="2">
        <f t="shared" si="125"/>
        <v>0</v>
      </c>
      <c r="S198" s="2">
        <v>0.2</v>
      </c>
      <c r="T198" s="21">
        <f t="shared" si="126"/>
        <v>9518.880000000001</v>
      </c>
      <c r="U198" s="2">
        <v>0.2</v>
      </c>
      <c r="V198" s="21">
        <f t="shared" si="85"/>
        <v>9518.880000000001</v>
      </c>
      <c r="W198" s="6">
        <f>W197+1</f>
        <v>5</v>
      </c>
      <c r="X198" s="3" t="s">
        <v>131</v>
      </c>
      <c r="Y198" s="43">
        <v>3966.2</v>
      </c>
      <c r="Z198" s="32">
        <f t="shared" si="86"/>
        <v>1.6400000000000001</v>
      </c>
      <c r="AA198" s="2">
        <v>0.5</v>
      </c>
      <c r="AB198" s="21">
        <f t="shared" si="127"/>
        <v>23797.199999999997</v>
      </c>
      <c r="AC198" s="2">
        <v>0.5</v>
      </c>
      <c r="AD198" s="21">
        <f t="shared" si="128"/>
        <v>23797.199999999997</v>
      </c>
      <c r="AE198" s="2">
        <v>0.25</v>
      </c>
      <c r="AF198" s="21">
        <f t="shared" si="129"/>
        <v>11898.599999999999</v>
      </c>
      <c r="AG198" s="2">
        <v>0.25</v>
      </c>
      <c r="AH198" s="21">
        <f t="shared" si="130"/>
        <v>11898.599999999999</v>
      </c>
      <c r="AI198" s="2">
        <v>0.14</v>
      </c>
      <c r="AJ198" s="21">
        <f t="shared" si="118"/>
        <v>6663.216</v>
      </c>
      <c r="AK198" s="32">
        <f t="shared" si="90"/>
        <v>1</v>
      </c>
      <c r="AL198" s="2">
        <v>1</v>
      </c>
      <c r="AM198" s="21">
        <f t="shared" si="131"/>
        <v>47594.399999999994</v>
      </c>
      <c r="AN198" s="190"/>
      <c r="AO198" s="21">
        <f t="shared" si="132"/>
        <v>0</v>
      </c>
      <c r="AP198" s="190"/>
      <c r="AQ198" s="21">
        <f t="shared" si="133"/>
        <v>0</v>
      </c>
      <c r="AR198" s="190"/>
      <c r="AS198" s="21">
        <f t="shared" si="134"/>
        <v>0</v>
      </c>
      <c r="AT198" s="190"/>
      <c r="AU198" s="21">
        <f t="shared" si="135"/>
        <v>0</v>
      </c>
      <c r="AV198" s="16"/>
    </row>
    <row r="199" spans="1:48" ht="12.75">
      <c r="A199" s="6">
        <f t="shared" si="136"/>
        <v>6</v>
      </c>
      <c r="B199" s="3" t="s">
        <v>241</v>
      </c>
      <c r="C199" s="43">
        <v>1415.7</v>
      </c>
      <c r="D199" s="5">
        <f t="shared" si="77"/>
        <v>4.61</v>
      </c>
      <c r="E199" s="5"/>
      <c r="F199" s="7">
        <f t="shared" si="119"/>
        <v>0.7000000000000001</v>
      </c>
      <c r="G199" s="2">
        <v>0.4</v>
      </c>
      <c r="H199" s="2">
        <f t="shared" si="120"/>
        <v>6795.360000000001</v>
      </c>
      <c r="I199" s="2"/>
      <c r="J199" s="2">
        <f t="shared" si="121"/>
        <v>0</v>
      </c>
      <c r="K199" s="190"/>
      <c r="L199" s="2">
        <f t="shared" si="122"/>
        <v>0</v>
      </c>
      <c r="M199" s="190"/>
      <c r="N199" s="2">
        <f t="shared" si="123"/>
        <v>0</v>
      </c>
      <c r="O199" s="190"/>
      <c r="P199" s="2">
        <f t="shared" si="124"/>
        <v>0</v>
      </c>
      <c r="Q199" s="190"/>
      <c r="R199" s="2">
        <f t="shared" si="125"/>
        <v>0</v>
      </c>
      <c r="S199" s="2">
        <v>0.15</v>
      </c>
      <c r="T199" s="21">
        <f t="shared" si="126"/>
        <v>2548.2599999999998</v>
      </c>
      <c r="U199" s="2">
        <v>0.15</v>
      </c>
      <c r="V199" s="21">
        <f t="shared" si="85"/>
        <v>2548.2599999999998</v>
      </c>
      <c r="W199" s="6">
        <f>W198+1</f>
        <v>6</v>
      </c>
      <c r="X199" s="3" t="s">
        <v>241</v>
      </c>
      <c r="Y199" s="43">
        <v>1415.7</v>
      </c>
      <c r="Z199" s="32">
        <f t="shared" si="86"/>
        <v>3.41</v>
      </c>
      <c r="AA199" s="199">
        <f>1-0.06</f>
        <v>0.94</v>
      </c>
      <c r="AB199" s="201">
        <f t="shared" si="127"/>
        <v>15969.096000000001</v>
      </c>
      <c r="AC199" s="199">
        <f>0.8-0.06</f>
        <v>0.74</v>
      </c>
      <c r="AD199" s="201">
        <f t="shared" si="128"/>
        <v>12571.416</v>
      </c>
      <c r="AE199" s="199">
        <f>0.8-0.07</f>
        <v>0.73</v>
      </c>
      <c r="AF199" s="21">
        <f t="shared" si="129"/>
        <v>12401.532</v>
      </c>
      <c r="AG199" s="2">
        <v>0.8</v>
      </c>
      <c r="AH199" s="21">
        <f t="shared" si="130"/>
        <v>13590.720000000001</v>
      </c>
      <c r="AI199" s="2">
        <v>0.2</v>
      </c>
      <c r="AJ199" s="21">
        <f t="shared" si="118"/>
        <v>3397.6800000000003</v>
      </c>
      <c r="AK199" s="32">
        <f t="shared" si="90"/>
        <v>0.5</v>
      </c>
      <c r="AL199" s="2">
        <v>0.5</v>
      </c>
      <c r="AM199" s="21">
        <f t="shared" si="131"/>
        <v>8494.2</v>
      </c>
      <c r="AN199" s="190"/>
      <c r="AO199" s="21">
        <f t="shared" si="132"/>
        <v>0</v>
      </c>
      <c r="AP199" s="190"/>
      <c r="AQ199" s="21">
        <f t="shared" si="133"/>
        <v>0</v>
      </c>
      <c r="AR199" s="190"/>
      <c r="AS199" s="21">
        <f t="shared" si="134"/>
        <v>0</v>
      </c>
      <c r="AT199" s="190"/>
      <c r="AU199" s="21">
        <f t="shared" si="135"/>
        <v>0</v>
      </c>
      <c r="AV199" s="16"/>
    </row>
    <row r="200" spans="1:48" ht="12.75">
      <c r="A200" s="6"/>
      <c r="B200" s="3" t="s">
        <v>242</v>
      </c>
      <c r="C200" s="43">
        <v>5045.7</v>
      </c>
      <c r="D200" s="5">
        <f t="shared" si="77"/>
        <v>8.719999999999999</v>
      </c>
      <c r="E200" s="5"/>
      <c r="F200" s="7">
        <f t="shared" si="119"/>
        <v>3.1</v>
      </c>
      <c r="G200" s="2">
        <v>2</v>
      </c>
      <c r="H200" s="2">
        <f t="shared" si="120"/>
        <v>121096.79999999999</v>
      </c>
      <c r="I200" s="2"/>
      <c r="J200" s="2">
        <f t="shared" si="121"/>
        <v>0</v>
      </c>
      <c r="K200" s="190"/>
      <c r="L200" s="2">
        <f t="shared" si="122"/>
        <v>0</v>
      </c>
      <c r="M200" s="190"/>
      <c r="N200" s="2">
        <f t="shared" si="123"/>
        <v>0</v>
      </c>
      <c r="O200" s="190"/>
      <c r="P200" s="2">
        <f t="shared" si="124"/>
        <v>0</v>
      </c>
      <c r="Q200" s="190"/>
      <c r="R200" s="2">
        <f t="shared" si="125"/>
        <v>0</v>
      </c>
      <c r="S200" s="2">
        <v>0.6</v>
      </c>
      <c r="T200" s="21">
        <f t="shared" si="126"/>
        <v>36329.03999999999</v>
      </c>
      <c r="U200" s="2">
        <v>0.5</v>
      </c>
      <c r="V200" s="21">
        <f t="shared" si="85"/>
        <v>30274.199999999997</v>
      </c>
      <c r="W200" s="6"/>
      <c r="X200" s="3" t="s">
        <v>242</v>
      </c>
      <c r="Y200" s="43">
        <v>5045.7</v>
      </c>
      <c r="Z200" s="32">
        <f t="shared" si="86"/>
        <v>5.109999999999999</v>
      </c>
      <c r="AA200" s="199">
        <f>1.2-0.06</f>
        <v>1.14</v>
      </c>
      <c r="AB200" s="201">
        <f t="shared" si="127"/>
        <v>69025.17599999999</v>
      </c>
      <c r="AC200" s="199">
        <f>1.2-0.06</f>
        <v>1.14</v>
      </c>
      <c r="AD200" s="201">
        <f t="shared" si="128"/>
        <v>69025.17599999999</v>
      </c>
      <c r="AE200" s="199">
        <f>1.2-0.07</f>
        <v>1.13</v>
      </c>
      <c r="AF200" s="21">
        <f t="shared" si="129"/>
        <v>68419.692</v>
      </c>
      <c r="AG200" s="2">
        <v>1.2</v>
      </c>
      <c r="AH200" s="21">
        <f t="shared" si="130"/>
        <v>72658.07999999999</v>
      </c>
      <c r="AI200" s="2">
        <v>0.5</v>
      </c>
      <c r="AJ200" s="21">
        <f t="shared" si="118"/>
        <v>30274.199999999997</v>
      </c>
      <c r="AK200" s="32">
        <f t="shared" si="90"/>
        <v>0.51</v>
      </c>
      <c r="AL200" s="2">
        <v>0.51</v>
      </c>
      <c r="AM200" s="21">
        <f t="shared" si="131"/>
        <v>30879.683999999997</v>
      </c>
      <c r="AN200" s="190"/>
      <c r="AO200" s="21">
        <f t="shared" si="132"/>
        <v>0</v>
      </c>
      <c r="AP200" s="190"/>
      <c r="AQ200" s="21">
        <f t="shared" si="133"/>
        <v>0</v>
      </c>
      <c r="AR200" s="190"/>
      <c r="AS200" s="21">
        <f t="shared" si="134"/>
        <v>0</v>
      </c>
      <c r="AT200" s="190"/>
      <c r="AU200" s="21">
        <f t="shared" si="135"/>
        <v>0</v>
      </c>
      <c r="AV200" s="16"/>
    </row>
    <row r="201" spans="1:48" ht="12.75">
      <c r="A201" s="6">
        <f>A199+1</f>
        <v>7</v>
      </c>
      <c r="B201" s="3" t="s">
        <v>132</v>
      </c>
      <c r="C201" s="43">
        <v>5320.4</v>
      </c>
      <c r="D201" s="5">
        <f t="shared" si="77"/>
        <v>6.5600000000000005</v>
      </c>
      <c r="E201" s="5"/>
      <c r="F201" s="7">
        <f t="shared" si="119"/>
        <v>2.7600000000000002</v>
      </c>
      <c r="G201" s="2">
        <v>1</v>
      </c>
      <c r="H201" s="2">
        <f t="shared" si="120"/>
        <v>63844.799999999996</v>
      </c>
      <c r="I201" s="2">
        <v>1.4</v>
      </c>
      <c r="J201" s="2">
        <f t="shared" si="121"/>
        <v>89382.71999999999</v>
      </c>
      <c r="K201" s="190"/>
      <c r="L201" s="2">
        <f t="shared" si="122"/>
        <v>0</v>
      </c>
      <c r="M201" s="190"/>
      <c r="N201" s="2">
        <f t="shared" si="123"/>
        <v>0</v>
      </c>
      <c r="O201" s="190"/>
      <c r="P201" s="2">
        <f t="shared" si="124"/>
        <v>0</v>
      </c>
      <c r="Q201" s="190"/>
      <c r="R201" s="2">
        <f t="shared" si="125"/>
        <v>0</v>
      </c>
      <c r="S201" s="2">
        <v>0.2</v>
      </c>
      <c r="T201" s="21">
        <f t="shared" si="126"/>
        <v>12768.96</v>
      </c>
      <c r="U201" s="2">
        <v>0.16</v>
      </c>
      <c r="V201" s="21">
        <f t="shared" si="85"/>
        <v>10215.168</v>
      </c>
      <c r="W201" s="6">
        <f>W199+1</f>
        <v>7</v>
      </c>
      <c r="X201" s="3" t="s">
        <v>132</v>
      </c>
      <c r="Y201" s="43">
        <v>5320.4</v>
      </c>
      <c r="Z201" s="32">
        <f t="shared" si="86"/>
        <v>1.7000000000000002</v>
      </c>
      <c r="AA201" s="2">
        <v>0.53</v>
      </c>
      <c r="AB201" s="21">
        <v>0.34</v>
      </c>
      <c r="AC201" s="2">
        <v>0.34</v>
      </c>
      <c r="AD201" s="21">
        <f t="shared" si="128"/>
        <v>21707.232</v>
      </c>
      <c r="AE201" s="2">
        <v>0.34</v>
      </c>
      <c r="AF201" s="21">
        <f t="shared" si="129"/>
        <v>21707.232</v>
      </c>
      <c r="AG201" s="2">
        <v>0.34</v>
      </c>
      <c r="AH201" s="21">
        <f t="shared" si="130"/>
        <v>21707.232</v>
      </c>
      <c r="AI201" s="2">
        <v>0.15</v>
      </c>
      <c r="AJ201" s="21">
        <f t="shared" si="118"/>
        <v>9576.72</v>
      </c>
      <c r="AK201" s="32">
        <f t="shared" si="90"/>
        <v>2.1</v>
      </c>
      <c r="AL201" s="2">
        <v>2.1</v>
      </c>
      <c r="AM201" s="21">
        <f t="shared" si="131"/>
        <v>134074.08000000002</v>
      </c>
      <c r="AN201" s="190"/>
      <c r="AO201" s="21">
        <f t="shared" si="132"/>
        <v>0</v>
      </c>
      <c r="AP201" s="190"/>
      <c r="AQ201" s="21">
        <f t="shared" si="133"/>
        <v>0</v>
      </c>
      <c r="AR201" s="190"/>
      <c r="AS201" s="21">
        <f t="shared" si="134"/>
        <v>0</v>
      </c>
      <c r="AT201" s="190"/>
      <c r="AU201" s="21">
        <f t="shared" si="135"/>
        <v>0</v>
      </c>
      <c r="AV201" s="16"/>
    </row>
    <row r="202" spans="1:48" ht="12.75">
      <c r="A202" s="6">
        <f t="shared" si="136"/>
        <v>8</v>
      </c>
      <c r="B202" s="3" t="s">
        <v>133</v>
      </c>
      <c r="C202" s="43">
        <v>3145.4</v>
      </c>
      <c r="D202" s="5">
        <f aca="true" t="shared" si="137" ref="D202:D243">F202+Z202+AK202+AV202</f>
        <v>6.630000000000001</v>
      </c>
      <c r="E202" s="5"/>
      <c r="F202" s="7">
        <f t="shared" si="119"/>
        <v>2</v>
      </c>
      <c r="G202" s="2">
        <v>0.5</v>
      </c>
      <c r="H202" s="2">
        <f aca="true" t="shared" si="138" ref="H202:H242">G202*C202*12</f>
        <v>18872.4</v>
      </c>
      <c r="I202" s="2">
        <v>1</v>
      </c>
      <c r="J202" s="2">
        <f aca="true" t="shared" si="139" ref="J202:J241">I202*C202*12</f>
        <v>37744.8</v>
      </c>
      <c r="K202" s="190"/>
      <c r="L202" s="2">
        <f aca="true" t="shared" si="140" ref="L202:L242">K202*C202*12</f>
        <v>0</v>
      </c>
      <c r="M202" s="190"/>
      <c r="N202" s="2">
        <f aca="true" t="shared" si="141" ref="N202:N242">M202*C202*12</f>
        <v>0</v>
      </c>
      <c r="O202" s="190"/>
      <c r="P202" s="2">
        <f aca="true" t="shared" si="142" ref="P202:P242">O202*C202*12</f>
        <v>0</v>
      </c>
      <c r="Q202" s="190"/>
      <c r="R202" s="2">
        <f aca="true" t="shared" si="143" ref="R202:R242">Q202*C202*12</f>
        <v>0</v>
      </c>
      <c r="S202" s="2">
        <v>0.2</v>
      </c>
      <c r="T202" s="21">
        <f aca="true" t="shared" si="144" ref="T202:T242">S202*C202*12</f>
        <v>7548.960000000001</v>
      </c>
      <c r="U202" s="2">
        <v>0.3</v>
      </c>
      <c r="V202" s="21">
        <f aca="true" t="shared" si="145" ref="V202:V242">U202*C202*12</f>
        <v>11323.44</v>
      </c>
      <c r="W202" s="6">
        <f>W201+1</f>
        <v>8</v>
      </c>
      <c r="X202" s="3" t="s">
        <v>133</v>
      </c>
      <c r="Y202" s="43">
        <v>3145.4</v>
      </c>
      <c r="Z202" s="32">
        <f aca="true" t="shared" si="146" ref="Z202:Z243">AA202+AC202+AE202+AG202+AI202</f>
        <v>3.4</v>
      </c>
      <c r="AA202" s="2">
        <v>0.86</v>
      </c>
      <c r="AB202" s="21">
        <f aca="true" t="shared" si="147" ref="AB202:AB241">AA202*C202*12</f>
        <v>32460.528</v>
      </c>
      <c r="AC202" s="2">
        <v>0.7</v>
      </c>
      <c r="AD202" s="21">
        <f aca="true" t="shared" si="148" ref="AD202:AD242">AC202*C202*12</f>
        <v>26421.359999999997</v>
      </c>
      <c r="AE202" s="2">
        <v>0.67</v>
      </c>
      <c r="AF202" s="21">
        <f t="shared" si="129"/>
        <v>25289.016000000003</v>
      </c>
      <c r="AG202" s="2">
        <v>0.67</v>
      </c>
      <c r="AH202" s="21">
        <f aca="true" t="shared" si="149" ref="AH202:AH242">AG202*C202*12</f>
        <v>25289.016000000003</v>
      </c>
      <c r="AI202" s="2">
        <v>0.5</v>
      </c>
      <c r="AJ202" s="21">
        <f t="shared" si="118"/>
        <v>18872.4</v>
      </c>
      <c r="AK202" s="32">
        <f aca="true" t="shared" si="150" ref="AK202:AK242">AL202+AN202+AP202+AR202+AT202</f>
        <v>1.23</v>
      </c>
      <c r="AL202" s="2">
        <v>1.23</v>
      </c>
      <c r="AM202" s="21">
        <f aca="true" t="shared" si="151" ref="AM202:AM242">AL202*C202*12</f>
        <v>46426.104</v>
      </c>
      <c r="AN202" s="190"/>
      <c r="AO202" s="21">
        <f aca="true" t="shared" si="152" ref="AO202:AO242">AN202*C202*12</f>
        <v>0</v>
      </c>
      <c r="AP202" s="190"/>
      <c r="AQ202" s="21">
        <f t="shared" si="133"/>
        <v>0</v>
      </c>
      <c r="AR202" s="190"/>
      <c r="AS202" s="21">
        <f aca="true" t="shared" si="153" ref="AS202:AS242">AR202*C202*12</f>
        <v>0</v>
      </c>
      <c r="AT202" s="190"/>
      <c r="AU202" s="21">
        <f t="shared" si="135"/>
        <v>0</v>
      </c>
      <c r="AV202" s="16"/>
    </row>
    <row r="203" spans="1:48" ht="12.75">
      <c r="A203" s="6">
        <f t="shared" si="136"/>
        <v>9</v>
      </c>
      <c r="B203" s="3" t="s">
        <v>134</v>
      </c>
      <c r="C203" s="43">
        <v>2350.7</v>
      </c>
      <c r="D203" s="5">
        <f t="shared" si="137"/>
        <v>6.5200000000000005</v>
      </c>
      <c r="E203" s="5"/>
      <c r="F203" s="7">
        <f t="shared" si="119"/>
        <v>2.8000000000000003</v>
      </c>
      <c r="G203" s="2">
        <v>0.68</v>
      </c>
      <c r="H203" s="2">
        <f t="shared" si="138"/>
        <v>19181.712</v>
      </c>
      <c r="I203" s="2">
        <v>1.62</v>
      </c>
      <c r="J203" s="2">
        <f t="shared" si="139"/>
        <v>45697.608</v>
      </c>
      <c r="K203" s="190"/>
      <c r="L203" s="2">
        <f t="shared" si="140"/>
        <v>0</v>
      </c>
      <c r="M203" s="190"/>
      <c r="N203" s="2">
        <f t="shared" si="141"/>
        <v>0</v>
      </c>
      <c r="O203" s="190"/>
      <c r="P203" s="2">
        <f t="shared" si="142"/>
        <v>0</v>
      </c>
      <c r="Q203" s="190"/>
      <c r="R203" s="2">
        <f t="shared" si="143"/>
        <v>0</v>
      </c>
      <c r="S203" s="2">
        <v>0.2</v>
      </c>
      <c r="T203" s="21">
        <f t="shared" si="144"/>
        <v>5641.68</v>
      </c>
      <c r="U203" s="2">
        <v>0.3</v>
      </c>
      <c r="V203" s="21">
        <f t="shared" si="145"/>
        <v>8462.519999999999</v>
      </c>
      <c r="W203" s="6">
        <f>W202+1</f>
        <v>9</v>
      </c>
      <c r="X203" s="3" t="s">
        <v>134</v>
      </c>
      <c r="Y203" s="43">
        <v>2350.7</v>
      </c>
      <c r="Z203" s="32">
        <f t="shared" si="146"/>
        <v>3.5199999999999996</v>
      </c>
      <c r="AA203" s="2">
        <v>0.93</v>
      </c>
      <c r="AB203" s="21">
        <v>0.77</v>
      </c>
      <c r="AC203" s="2">
        <v>0.77</v>
      </c>
      <c r="AD203" s="21">
        <f t="shared" si="148"/>
        <v>21720.468</v>
      </c>
      <c r="AE203" s="2">
        <v>0.76</v>
      </c>
      <c r="AF203" s="21">
        <f t="shared" si="129"/>
        <v>21438.384</v>
      </c>
      <c r="AG203" s="2">
        <v>0.76</v>
      </c>
      <c r="AH203" s="21">
        <f t="shared" si="149"/>
        <v>21438.384</v>
      </c>
      <c r="AI203" s="2">
        <v>0.3</v>
      </c>
      <c r="AJ203" s="21">
        <f t="shared" si="118"/>
        <v>8462.519999999999</v>
      </c>
      <c r="AK203" s="32">
        <f t="shared" si="150"/>
        <v>0.2</v>
      </c>
      <c r="AL203" s="2">
        <v>0.2</v>
      </c>
      <c r="AM203" s="21">
        <f t="shared" si="151"/>
        <v>5641.68</v>
      </c>
      <c r="AN203" s="190"/>
      <c r="AO203" s="21">
        <f t="shared" si="152"/>
        <v>0</v>
      </c>
      <c r="AP203" s="190"/>
      <c r="AQ203" s="21">
        <f t="shared" si="133"/>
        <v>0</v>
      </c>
      <c r="AR203" s="190"/>
      <c r="AS203" s="21">
        <f t="shared" si="153"/>
        <v>0</v>
      </c>
      <c r="AT203" s="190"/>
      <c r="AU203" s="21">
        <f t="shared" si="135"/>
        <v>0</v>
      </c>
      <c r="AV203" s="16"/>
    </row>
    <row r="204" spans="1:48" ht="12.75">
      <c r="A204" s="6">
        <f t="shared" si="136"/>
        <v>10</v>
      </c>
      <c r="B204" s="3" t="s">
        <v>243</v>
      </c>
      <c r="C204" s="43">
        <v>1435.6</v>
      </c>
      <c r="D204" s="5">
        <f t="shared" si="137"/>
        <v>7.21</v>
      </c>
      <c r="E204" s="5"/>
      <c r="F204" s="7">
        <f t="shared" si="119"/>
        <v>4.25</v>
      </c>
      <c r="G204" s="2">
        <v>2</v>
      </c>
      <c r="H204" s="2">
        <f t="shared" si="138"/>
        <v>34454.399999999994</v>
      </c>
      <c r="I204" s="2">
        <v>0.9</v>
      </c>
      <c r="J204" s="2">
        <f t="shared" si="139"/>
        <v>15504.48</v>
      </c>
      <c r="K204" s="190"/>
      <c r="L204" s="2">
        <f t="shared" si="140"/>
        <v>0</v>
      </c>
      <c r="M204" s="190">
        <v>1</v>
      </c>
      <c r="N204" s="2">
        <f t="shared" si="141"/>
        <v>17227.199999999997</v>
      </c>
      <c r="O204" s="190"/>
      <c r="P204" s="2">
        <f t="shared" si="142"/>
        <v>0</v>
      </c>
      <c r="Q204" s="190"/>
      <c r="R204" s="2">
        <f t="shared" si="143"/>
        <v>0</v>
      </c>
      <c r="S204" s="2">
        <v>0.1</v>
      </c>
      <c r="T204" s="21">
        <f t="shared" si="144"/>
        <v>1722.72</v>
      </c>
      <c r="U204" s="2">
        <v>0.25</v>
      </c>
      <c r="V204" s="21">
        <f t="shared" si="145"/>
        <v>4306.799999999999</v>
      </c>
      <c r="W204" s="6">
        <f>W203+1</f>
        <v>10</v>
      </c>
      <c r="X204" s="3" t="s">
        <v>243</v>
      </c>
      <c r="Y204" s="43">
        <v>1435.6</v>
      </c>
      <c r="Z204" s="32">
        <f t="shared" si="146"/>
        <v>2.96</v>
      </c>
      <c r="AA204" s="199">
        <f>0.8-0.06</f>
        <v>0.74</v>
      </c>
      <c r="AB204" s="201">
        <v>0.7</v>
      </c>
      <c r="AC204" s="199">
        <f>0.8-0.06</f>
        <v>0.74</v>
      </c>
      <c r="AD204" s="201">
        <f t="shared" si="148"/>
        <v>12748.127999999997</v>
      </c>
      <c r="AE204" s="199">
        <f>0.7-0.07</f>
        <v>0.6299999999999999</v>
      </c>
      <c r="AF204" s="21">
        <f t="shared" si="129"/>
        <v>10853.135999999997</v>
      </c>
      <c r="AG204" s="2">
        <v>0.55</v>
      </c>
      <c r="AH204" s="21">
        <f t="shared" si="149"/>
        <v>9474.960000000001</v>
      </c>
      <c r="AI204" s="2">
        <v>0.3</v>
      </c>
      <c r="AJ204" s="21">
        <f t="shared" si="118"/>
        <v>5168.16</v>
      </c>
      <c r="AK204" s="32">
        <f t="shared" si="150"/>
        <v>0</v>
      </c>
      <c r="AL204" s="2"/>
      <c r="AM204" s="21">
        <f t="shared" si="151"/>
        <v>0</v>
      </c>
      <c r="AN204" s="190"/>
      <c r="AO204" s="21">
        <f t="shared" si="152"/>
        <v>0</v>
      </c>
      <c r="AP204" s="190"/>
      <c r="AQ204" s="21">
        <f t="shared" si="133"/>
        <v>0</v>
      </c>
      <c r="AR204" s="190"/>
      <c r="AS204" s="21">
        <f t="shared" si="153"/>
        <v>0</v>
      </c>
      <c r="AT204" s="190"/>
      <c r="AU204" s="21">
        <f t="shared" si="135"/>
        <v>0</v>
      </c>
      <c r="AV204" s="16"/>
    </row>
    <row r="205" spans="1:48" ht="12.75">
      <c r="A205" s="6"/>
      <c r="B205" s="3" t="s">
        <v>244</v>
      </c>
      <c r="C205" s="170">
        <v>5135</v>
      </c>
      <c r="D205" s="5">
        <f t="shared" si="137"/>
        <v>10.92</v>
      </c>
      <c r="E205" s="5"/>
      <c r="F205" s="7">
        <f t="shared" si="119"/>
        <v>8.47</v>
      </c>
      <c r="G205" s="2">
        <v>2</v>
      </c>
      <c r="H205" s="2">
        <f t="shared" si="138"/>
        <v>123240</v>
      </c>
      <c r="I205" s="2">
        <v>1.91</v>
      </c>
      <c r="J205" s="2">
        <f t="shared" si="139"/>
        <v>117694.20000000001</v>
      </c>
      <c r="K205" s="190"/>
      <c r="L205" s="2">
        <f t="shared" si="140"/>
        <v>0</v>
      </c>
      <c r="M205" s="190">
        <v>4</v>
      </c>
      <c r="N205" s="2">
        <f t="shared" si="141"/>
        <v>246480</v>
      </c>
      <c r="O205" s="190"/>
      <c r="P205" s="2">
        <f t="shared" si="142"/>
        <v>0</v>
      </c>
      <c r="Q205" s="190"/>
      <c r="R205" s="2">
        <f t="shared" si="143"/>
        <v>0</v>
      </c>
      <c r="S205" s="2">
        <v>0.26</v>
      </c>
      <c r="T205" s="21">
        <f t="shared" si="144"/>
        <v>16021.2</v>
      </c>
      <c r="U205" s="2">
        <v>0.3</v>
      </c>
      <c r="V205" s="21">
        <f t="shared" si="145"/>
        <v>18486</v>
      </c>
      <c r="W205" s="6"/>
      <c r="X205" s="3" t="s">
        <v>244</v>
      </c>
      <c r="Y205" s="170">
        <v>5135</v>
      </c>
      <c r="Z205" s="32">
        <f t="shared" si="146"/>
        <v>2.4499999999999997</v>
      </c>
      <c r="AA205" s="199">
        <f>0.6-0.06</f>
        <v>0.54</v>
      </c>
      <c r="AB205" s="201">
        <f t="shared" si="147"/>
        <v>33274.8</v>
      </c>
      <c r="AC205" s="199">
        <f>0.8-0.06</f>
        <v>0.74</v>
      </c>
      <c r="AD205" s="201">
        <f t="shared" si="148"/>
        <v>45598.8</v>
      </c>
      <c r="AE205" s="199">
        <f>0.5-0.07</f>
        <v>0.43</v>
      </c>
      <c r="AF205" s="21">
        <f t="shared" si="129"/>
        <v>26496.600000000002</v>
      </c>
      <c r="AG205" s="2">
        <v>0.44</v>
      </c>
      <c r="AH205" s="21">
        <f t="shared" si="149"/>
        <v>27112.800000000003</v>
      </c>
      <c r="AI205" s="2">
        <v>0.3</v>
      </c>
      <c r="AJ205" s="21">
        <f t="shared" si="118"/>
        <v>18486</v>
      </c>
      <c r="AK205" s="32">
        <f t="shared" si="150"/>
        <v>0</v>
      </c>
      <c r="AL205" s="2"/>
      <c r="AM205" s="21">
        <f t="shared" si="151"/>
        <v>0</v>
      </c>
      <c r="AN205" s="190"/>
      <c r="AO205" s="21">
        <f t="shared" si="152"/>
        <v>0</v>
      </c>
      <c r="AP205" s="190"/>
      <c r="AQ205" s="21">
        <f t="shared" si="133"/>
        <v>0</v>
      </c>
      <c r="AR205" s="190"/>
      <c r="AS205" s="21">
        <f t="shared" si="153"/>
        <v>0</v>
      </c>
      <c r="AT205" s="190"/>
      <c r="AU205" s="21">
        <f t="shared" si="135"/>
        <v>0</v>
      </c>
      <c r="AV205" s="16"/>
    </row>
    <row r="206" spans="1:48" ht="12.75">
      <c r="A206" s="6">
        <f>A204+1</f>
        <v>11</v>
      </c>
      <c r="B206" s="3" t="s">
        <v>135</v>
      </c>
      <c r="C206" s="43">
        <v>1669.1</v>
      </c>
      <c r="D206" s="5">
        <f t="shared" si="137"/>
        <v>5.84</v>
      </c>
      <c r="E206" s="5"/>
      <c r="F206" s="7">
        <f t="shared" si="119"/>
        <v>3.2699999999999996</v>
      </c>
      <c r="G206" s="2">
        <v>0.23</v>
      </c>
      <c r="H206" s="2">
        <f t="shared" si="138"/>
        <v>4606.715999999999</v>
      </c>
      <c r="I206" s="2"/>
      <c r="J206" s="2">
        <f t="shared" si="139"/>
        <v>0</v>
      </c>
      <c r="K206" s="190"/>
      <c r="L206" s="2">
        <f t="shared" si="140"/>
        <v>0</v>
      </c>
      <c r="M206" s="190">
        <v>2.53</v>
      </c>
      <c r="N206" s="2">
        <f t="shared" si="141"/>
        <v>50673.87599999999</v>
      </c>
      <c r="O206" s="190"/>
      <c r="P206" s="2">
        <f t="shared" si="142"/>
        <v>0</v>
      </c>
      <c r="Q206" s="190"/>
      <c r="R206" s="2">
        <f t="shared" si="143"/>
        <v>0</v>
      </c>
      <c r="S206" s="2">
        <v>0.21</v>
      </c>
      <c r="T206" s="21">
        <f t="shared" si="144"/>
        <v>4206.132</v>
      </c>
      <c r="U206" s="2">
        <v>0.3</v>
      </c>
      <c r="V206" s="21">
        <f t="shared" si="145"/>
        <v>6008.759999999999</v>
      </c>
      <c r="W206" s="6">
        <f>W204+1</f>
        <v>11</v>
      </c>
      <c r="X206" s="3" t="s">
        <v>135</v>
      </c>
      <c r="Y206" s="43">
        <v>1669.1</v>
      </c>
      <c r="Z206" s="32">
        <f t="shared" si="146"/>
        <v>1.67</v>
      </c>
      <c r="AA206" s="2">
        <v>0.5</v>
      </c>
      <c r="AB206" s="21">
        <f t="shared" si="147"/>
        <v>10014.599999999999</v>
      </c>
      <c r="AC206" s="2">
        <v>0.4</v>
      </c>
      <c r="AD206" s="21">
        <f t="shared" si="148"/>
        <v>8011.68</v>
      </c>
      <c r="AE206" s="2">
        <v>0.4</v>
      </c>
      <c r="AF206" s="21">
        <f t="shared" si="129"/>
        <v>8011.68</v>
      </c>
      <c r="AG206" s="2">
        <v>0.2</v>
      </c>
      <c r="AH206" s="21">
        <f t="shared" si="149"/>
        <v>4005.84</v>
      </c>
      <c r="AI206" s="2">
        <v>0.17</v>
      </c>
      <c r="AJ206" s="21">
        <f t="shared" si="118"/>
        <v>3404.964</v>
      </c>
      <c r="AK206" s="32">
        <f t="shared" si="150"/>
        <v>0.9</v>
      </c>
      <c r="AL206" s="2">
        <v>0.9</v>
      </c>
      <c r="AM206" s="21">
        <f t="shared" si="151"/>
        <v>18026.28</v>
      </c>
      <c r="AN206" s="190"/>
      <c r="AO206" s="21">
        <f t="shared" si="152"/>
        <v>0</v>
      </c>
      <c r="AP206" s="190"/>
      <c r="AQ206" s="21">
        <f t="shared" si="133"/>
        <v>0</v>
      </c>
      <c r="AR206" s="190"/>
      <c r="AS206" s="21">
        <f t="shared" si="153"/>
        <v>0</v>
      </c>
      <c r="AT206" s="190"/>
      <c r="AU206" s="21">
        <f t="shared" si="135"/>
        <v>0</v>
      </c>
      <c r="AV206" s="16"/>
    </row>
    <row r="207" spans="1:48" ht="12.75">
      <c r="A207" s="6">
        <f t="shared" si="136"/>
        <v>12</v>
      </c>
      <c r="B207" s="3" t="s">
        <v>136</v>
      </c>
      <c r="C207" s="64">
        <v>2421</v>
      </c>
      <c r="D207" s="5">
        <f t="shared" si="137"/>
        <v>6.14</v>
      </c>
      <c r="E207" s="5"/>
      <c r="F207" s="7">
        <f t="shared" si="119"/>
        <v>0.71</v>
      </c>
      <c r="G207" s="2"/>
      <c r="H207" s="2">
        <f t="shared" si="138"/>
        <v>0</v>
      </c>
      <c r="I207" s="2">
        <v>0.31</v>
      </c>
      <c r="J207" s="2">
        <f t="shared" si="139"/>
        <v>9006.119999999999</v>
      </c>
      <c r="K207" s="190"/>
      <c r="L207" s="2">
        <f t="shared" si="140"/>
        <v>0</v>
      </c>
      <c r="M207" s="190"/>
      <c r="N207" s="2">
        <f t="shared" si="141"/>
        <v>0</v>
      </c>
      <c r="O207" s="190"/>
      <c r="P207" s="2">
        <f t="shared" si="142"/>
        <v>0</v>
      </c>
      <c r="Q207" s="190"/>
      <c r="R207" s="2">
        <f t="shared" si="143"/>
        <v>0</v>
      </c>
      <c r="S207" s="2">
        <v>0.1</v>
      </c>
      <c r="T207" s="21">
        <f t="shared" si="144"/>
        <v>2905.2000000000003</v>
      </c>
      <c r="U207" s="2">
        <v>0.3</v>
      </c>
      <c r="V207" s="21">
        <f t="shared" si="145"/>
        <v>8715.599999999999</v>
      </c>
      <c r="W207" s="6">
        <f>W206+1</f>
        <v>12</v>
      </c>
      <c r="X207" s="3" t="s">
        <v>136</v>
      </c>
      <c r="Y207" s="64">
        <v>2421</v>
      </c>
      <c r="Z207" s="32">
        <f t="shared" si="146"/>
        <v>1.6999999999999997</v>
      </c>
      <c r="AA207" s="2">
        <v>0.5</v>
      </c>
      <c r="AB207" s="21">
        <f t="shared" si="147"/>
        <v>14526</v>
      </c>
      <c r="AC207" s="2">
        <v>0.35</v>
      </c>
      <c r="AD207" s="21">
        <f t="shared" si="148"/>
        <v>10168.199999999999</v>
      </c>
      <c r="AE207" s="2">
        <v>0.35</v>
      </c>
      <c r="AF207" s="21">
        <f t="shared" si="129"/>
        <v>10168.199999999999</v>
      </c>
      <c r="AG207" s="2">
        <v>0.35</v>
      </c>
      <c r="AH207" s="21">
        <f t="shared" si="149"/>
        <v>10168.199999999999</v>
      </c>
      <c r="AI207" s="2">
        <v>0.15</v>
      </c>
      <c r="AJ207" s="21">
        <f t="shared" si="118"/>
        <v>4357.799999999999</v>
      </c>
      <c r="AK207" s="32">
        <f t="shared" si="150"/>
        <v>3.73</v>
      </c>
      <c r="AL207" s="2">
        <v>2.8</v>
      </c>
      <c r="AM207" s="21">
        <f t="shared" si="151"/>
        <v>81345.59999999999</v>
      </c>
      <c r="AN207" s="190"/>
      <c r="AO207" s="21">
        <f t="shared" si="152"/>
        <v>0</v>
      </c>
      <c r="AP207" s="190"/>
      <c r="AQ207" s="21">
        <f t="shared" si="133"/>
        <v>0</v>
      </c>
      <c r="AR207" s="190"/>
      <c r="AS207" s="21">
        <f t="shared" si="153"/>
        <v>0</v>
      </c>
      <c r="AT207" s="190">
        <v>0.93</v>
      </c>
      <c r="AU207" s="21">
        <f t="shared" si="135"/>
        <v>27018.36</v>
      </c>
      <c r="AV207" s="16"/>
    </row>
    <row r="208" spans="1:48" ht="12.75">
      <c r="A208" s="6">
        <f t="shared" si="136"/>
        <v>13</v>
      </c>
      <c r="B208" s="3" t="s">
        <v>137</v>
      </c>
      <c r="C208" s="43">
        <v>6280.6</v>
      </c>
      <c r="D208" s="5">
        <f t="shared" si="137"/>
        <v>4.48</v>
      </c>
      <c r="E208" s="5"/>
      <c r="F208" s="7">
        <f t="shared" si="119"/>
        <v>1.97</v>
      </c>
      <c r="G208" s="2">
        <v>0.5</v>
      </c>
      <c r="H208" s="2">
        <f t="shared" si="138"/>
        <v>37683.600000000006</v>
      </c>
      <c r="I208" s="2">
        <v>0.8</v>
      </c>
      <c r="J208" s="2">
        <f t="shared" si="139"/>
        <v>60293.76000000001</v>
      </c>
      <c r="K208" s="190"/>
      <c r="L208" s="2">
        <f t="shared" si="140"/>
        <v>0</v>
      </c>
      <c r="M208" s="190"/>
      <c r="N208" s="2">
        <f t="shared" si="141"/>
        <v>0</v>
      </c>
      <c r="O208" s="190"/>
      <c r="P208" s="2">
        <f t="shared" si="142"/>
        <v>0</v>
      </c>
      <c r="Q208" s="190"/>
      <c r="R208" s="2">
        <f t="shared" si="143"/>
        <v>0</v>
      </c>
      <c r="S208" s="2">
        <v>0.17</v>
      </c>
      <c r="T208" s="21">
        <f t="shared" si="144"/>
        <v>12812.424000000003</v>
      </c>
      <c r="U208" s="2">
        <v>0.5</v>
      </c>
      <c r="V208" s="21">
        <f t="shared" si="145"/>
        <v>37683.600000000006</v>
      </c>
      <c r="W208" s="6">
        <f>W207+1</f>
        <v>13</v>
      </c>
      <c r="X208" s="3" t="s">
        <v>137</v>
      </c>
      <c r="Y208" s="43">
        <v>6280.6</v>
      </c>
      <c r="Z208" s="32">
        <f t="shared" si="146"/>
        <v>2.5100000000000002</v>
      </c>
      <c r="AA208" s="2">
        <v>0.9</v>
      </c>
      <c r="AB208" s="21">
        <f t="shared" si="147"/>
        <v>67830.48000000001</v>
      </c>
      <c r="AC208" s="2">
        <v>0.41</v>
      </c>
      <c r="AD208" s="21">
        <f t="shared" si="148"/>
        <v>30900.551999999996</v>
      </c>
      <c r="AE208" s="2">
        <v>0.3</v>
      </c>
      <c r="AF208" s="21">
        <f t="shared" si="129"/>
        <v>22610.16</v>
      </c>
      <c r="AG208" s="2">
        <v>0.4</v>
      </c>
      <c r="AH208" s="21">
        <f t="shared" si="149"/>
        <v>30146.880000000005</v>
      </c>
      <c r="AI208" s="2">
        <v>0.5</v>
      </c>
      <c r="AJ208" s="21">
        <f t="shared" si="118"/>
        <v>37683.600000000006</v>
      </c>
      <c r="AK208" s="32">
        <f t="shared" si="150"/>
        <v>0</v>
      </c>
      <c r="AL208" s="2"/>
      <c r="AM208" s="21">
        <f t="shared" si="151"/>
        <v>0</v>
      </c>
      <c r="AN208" s="190"/>
      <c r="AO208" s="21">
        <f t="shared" si="152"/>
        <v>0</v>
      </c>
      <c r="AP208" s="190"/>
      <c r="AQ208" s="21">
        <f t="shared" si="133"/>
        <v>0</v>
      </c>
      <c r="AR208" s="190"/>
      <c r="AS208" s="21">
        <f t="shared" si="153"/>
        <v>0</v>
      </c>
      <c r="AT208" s="190"/>
      <c r="AU208" s="21">
        <f t="shared" si="135"/>
        <v>0</v>
      </c>
      <c r="AV208" s="16"/>
    </row>
    <row r="209" spans="1:48" ht="12.75">
      <c r="A209" s="6">
        <f t="shared" si="136"/>
        <v>14</v>
      </c>
      <c r="B209" s="3" t="s">
        <v>138</v>
      </c>
      <c r="C209" s="170">
        <v>1468.6</v>
      </c>
      <c r="D209" s="5">
        <f t="shared" si="137"/>
        <v>5.57</v>
      </c>
      <c r="E209" s="5"/>
      <c r="F209" s="7">
        <f t="shared" si="119"/>
        <v>3.17</v>
      </c>
      <c r="G209" s="2">
        <v>1</v>
      </c>
      <c r="H209" s="2">
        <f t="shared" si="138"/>
        <v>17623.199999999997</v>
      </c>
      <c r="I209" s="2"/>
      <c r="J209" s="2">
        <f t="shared" si="139"/>
        <v>0</v>
      </c>
      <c r="K209" s="190"/>
      <c r="L209" s="2">
        <f t="shared" si="140"/>
        <v>0</v>
      </c>
      <c r="M209" s="190">
        <v>1.9</v>
      </c>
      <c r="N209" s="2">
        <f t="shared" si="141"/>
        <v>33484.079999999994</v>
      </c>
      <c r="O209" s="190"/>
      <c r="P209" s="2">
        <f t="shared" si="142"/>
        <v>0</v>
      </c>
      <c r="Q209" s="190"/>
      <c r="R209" s="2">
        <f t="shared" si="143"/>
        <v>0</v>
      </c>
      <c r="S209" s="2">
        <v>0.1</v>
      </c>
      <c r="T209" s="21">
        <f t="shared" si="144"/>
        <v>1762.3199999999997</v>
      </c>
      <c r="U209" s="2">
        <v>0.17</v>
      </c>
      <c r="V209" s="21">
        <f t="shared" si="145"/>
        <v>2995.944</v>
      </c>
      <c r="W209" s="6">
        <f>W208+1</f>
        <v>14</v>
      </c>
      <c r="X209" s="3" t="s">
        <v>138</v>
      </c>
      <c r="Y209" s="170">
        <v>1468.6</v>
      </c>
      <c r="Z209" s="32">
        <f t="shared" si="146"/>
        <v>2.4</v>
      </c>
      <c r="AA209" s="2">
        <v>0.8</v>
      </c>
      <c r="AB209" s="21">
        <v>0.5</v>
      </c>
      <c r="AC209" s="2">
        <v>0.5</v>
      </c>
      <c r="AD209" s="21">
        <f t="shared" si="148"/>
        <v>8811.599999999999</v>
      </c>
      <c r="AE209" s="2">
        <v>0.5</v>
      </c>
      <c r="AF209" s="21">
        <f t="shared" si="129"/>
        <v>8811.599999999999</v>
      </c>
      <c r="AG209" s="2">
        <v>0.5</v>
      </c>
      <c r="AH209" s="21">
        <f t="shared" si="149"/>
        <v>8811.599999999999</v>
      </c>
      <c r="AI209" s="2">
        <v>0.1</v>
      </c>
      <c r="AJ209" s="21">
        <f t="shared" si="118"/>
        <v>1762.3199999999997</v>
      </c>
      <c r="AK209" s="32">
        <f t="shared" si="150"/>
        <v>0</v>
      </c>
      <c r="AL209" s="2"/>
      <c r="AM209" s="21">
        <f t="shared" si="151"/>
        <v>0</v>
      </c>
      <c r="AN209" s="190"/>
      <c r="AO209" s="21">
        <f t="shared" si="152"/>
        <v>0</v>
      </c>
      <c r="AP209" s="190"/>
      <c r="AQ209" s="21">
        <f t="shared" si="133"/>
        <v>0</v>
      </c>
      <c r="AR209" s="190"/>
      <c r="AS209" s="21">
        <f t="shared" si="153"/>
        <v>0</v>
      </c>
      <c r="AT209" s="190"/>
      <c r="AU209" s="21">
        <f t="shared" si="135"/>
        <v>0</v>
      </c>
      <c r="AV209" s="16"/>
    </row>
    <row r="210" spans="1:48" ht="12.75">
      <c r="A210" s="6">
        <f t="shared" si="136"/>
        <v>15</v>
      </c>
      <c r="B210" s="3" t="s">
        <v>139</v>
      </c>
      <c r="C210" s="43">
        <v>2397.6</v>
      </c>
      <c r="D210" s="5">
        <f t="shared" si="137"/>
        <v>5.84</v>
      </c>
      <c r="E210" s="5"/>
      <c r="F210" s="7">
        <f t="shared" si="119"/>
        <v>2.13</v>
      </c>
      <c r="G210" s="2">
        <v>1.9</v>
      </c>
      <c r="H210" s="2">
        <f t="shared" si="138"/>
        <v>54665.28</v>
      </c>
      <c r="I210" s="2"/>
      <c r="J210" s="2">
        <f t="shared" si="139"/>
        <v>0</v>
      </c>
      <c r="K210" s="190"/>
      <c r="L210" s="2">
        <f t="shared" si="140"/>
        <v>0</v>
      </c>
      <c r="M210" s="190"/>
      <c r="N210" s="2">
        <f t="shared" si="141"/>
        <v>0</v>
      </c>
      <c r="O210" s="190"/>
      <c r="P210" s="2">
        <f t="shared" si="142"/>
        <v>0</v>
      </c>
      <c r="Q210" s="190"/>
      <c r="R210" s="2">
        <f t="shared" si="143"/>
        <v>0</v>
      </c>
      <c r="S210" s="2">
        <v>0.15</v>
      </c>
      <c r="T210" s="21">
        <f t="shared" si="144"/>
        <v>4315.68</v>
      </c>
      <c r="U210" s="2">
        <v>0.08</v>
      </c>
      <c r="V210" s="21">
        <f t="shared" si="145"/>
        <v>2301.696</v>
      </c>
      <c r="W210" s="6">
        <f>W209+1</f>
        <v>15</v>
      </c>
      <c r="X210" s="3" t="s">
        <v>139</v>
      </c>
      <c r="Y210" s="43">
        <v>2397.6</v>
      </c>
      <c r="Z210" s="32">
        <f t="shared" si="146"/>
        <v>2.3000000000000003</v>
      </c>
      <c r="AA210" s="2">
        <v>0.7</v>
      </c>
      <c r="AB210" s="21">
        <f t="shared" si="147"/>
        <v>20139.84</v>
      </c>
      <c r="AC210" s="2">
        <v>0.5</v>
      </c>
      <c r="AD210" s="21">
        <f t="shared" si="148"/>
        <v>14385.599999999999</v>
      </c>
      <c r="AE210" s="2">
        <v>0.5</v>
      </c>
      <c r="AF210" s="21">
        <f aca="true" t="shared" si="154" ref="AF210:AF242">AE210*C210*12</f>
        <v>14385.599999999999</v>
      </c>
      <c r="AG210" s="2">
        <v>0.5</v>
      </c>
      <c r="AH210" s="21">
        <f t="shared" si="149"/>
        <v>14385.599999999999</v>
      </c>
      <c r="AI210" s="2">
        <v>0.1</v>
      </c>
      <c r="AJ210" s="21">
        <f t="shared" si="118"/>
        <v>2877.12</v>
      </c>
      <c r="AK210" s="32">
        <f t="shared" si="150"/>
        <v>1.41</v>
      </c>
      <c r="AL210" s="2">
        <v>1.41</v>
      </c>
      <c r="AM210" s="21">
        <f t="shared" si="151"/>
        <v>40567.39199999999</v>
      </c>
      <c r="AN210" s="190"/>
      <c r="AO210" s="21">
        <f t="shared" si="152"/>
        <v>0</v>
      </c>
      <c r="AP210" s="190"/>
      <c r="AQ210" s="21">
        <f t="shared" si="133"/>
        <v>0</v>
      </c>
      <c r="AR210" s="190"/>
      <c r="AS210" s="21">
        <f t="shared" si="153"/>
        <v>0</v>
      </c>
      <c r="AT210" s="190"/>
      <c r="AU210" s="21">
        <f t="shared" si="135"/>
        <v>0</v>
      </c>
      <c r="AV210" s="16"/>
    </row>
    <row r="211" spans="1:48" ht="12.75">
      <c r="A211" s="6">
        <f t="shared" si="136"/>
        <v>16</v>
      </c>
      <c r="B211" s="3" t="s">
        <v>140</v>
      </c>
      <c r="C211" s="43">
        <v>1259.1</v>
      </c>
      <c r="D211" s="5">
        <f t="shared" si="137"/>
        <v>4.680000000000001</v>
      </c>
      <c r="E211" s="5"/>
      <c r="F211" s="7">
        <f t="shared" si="119"/>
        <v>2.45</v>
      </c>
      <c r="G211" s="2">
        <v>1</v>
      </c>
      <c r="H211" s="2">
        <f t="shared" si="138"/>
        <v>15109.199999999999</v>
      </c>
      <c r="I211" s="2">
        <v>1</v>
      </c>
      <c r="J211" s="2">
        <f t="shared" si="139"/>
        <v>15109.199999999999</v>
      </c>
      <c r="K211" s="190"/>
      <c r="L211" s="2">
        <f t="shared" si="140"/>
        <v>0</v>
      </c>
      <c r="M211" s="190"/>
      <c r="N211" s="2">
        <f t="shared" si="141"/>
        <v>0</v>
      </c>
      <c r="O211" s="190"/>
      <c r="P211" s="2">
        <f t="shared" si="142"/>
        <v>0</v>
      </c>
      <c r="Q211" s="190"/>
      <c r="R211" s="2">
        <f t="shared" si="143"/>
        <v>0</v>
      </c>
      <c r="S211" s="2">
        <v>0.2</v>
      </c>
      <c r="T211" s="21">
        <f t="shared" si="144"/>
        <v>3021.84</v>
      </c>
      <c r="U211" s="2">
        <v>0.25</v>
      </c>
      <c r="V211" s="21">
        <f t="shared" si="145"/>
        <v>3777.2999999999997</v>
      </c>
      <c r="W211" s="6">
        <f>W210+1</f>
        <v>16</v>
      </c>
      <c r="X211" s="3" t="s">
        <v>140</v>
      </c>
      <c r="Y211" s="43">
        <v>1259.1</v>
      </c>
      <c r="Z211" s="32">
        <f t="shared" si="146"/>
        <v>2.2300000000000004</v>
      </c>
      <c r="AA211" s="2">
        <v>1</v>
      </c>
      <c r="AB211" s="21">
        <f t="shared" si="147"/>
        <v>15109.199999999999</v>
      </c>
      <c r="AC211" s="2">
        <v>0.3</v>
      </c>
      <c r="AD211" s="21">
        <f t="shared" si="148"/>
        <v>4532.759999999999</v>
      </c>
      <c r="AE211" s="2">
        <v>0.38</v>
      </c>
      <c r="AF211" s="21">
        <f t="shared" si="154"/>
        <v>5741.495999999999</v>
      </c>
      <c r="AG211" s="2">
        <v>0.3</v>
      </c>
      <c r="AH211" s="21">
        <f t="shared" si="149"/>
        <v>4532.759999999999</v>
      </c>
      <c r="AI211" s="2">
        <v>0.25</v>
      </c>
      <c r="AJ211" s="21">
        <f t="shared" si="118"/>
        <v>3777.2999999999997</v>
      </c>
      <c r="AK211" s="32">
        <f t="shared" si="150"/>
        <v>0</v>
      </c>
      <c r="AL211" s="2"/>
      <c r="AM211" s="21">
        <f t="shared" si="151"/>
        <v>0</v>
      </c>
      <c r="AN211" s="190"/>
      <c r="AO211" s="21">
        <f t="shared" si="152"/>
        <v>0</v>
      </c>
      <c r="AP211" s="190"/>
      <c r="AQ211" s="21">
        <f t="shared" si="133"/>
        <v>0</v>
      </c>
      <c r="AR211" s="190"/>
      <c r="AS211" s="21">
        <f t="shared" si="153"/>
        <v>0</v>
      </c>
      <c r="AT211" s="190"/>
      <c r="AU211" s="21">
        <f t="shared" si="135"/>
        <v>0</v>
      </c>
      <c r="AV211" s="16"/>
    </row>
    <row r="212" spans="1:48" ht="12.75">
      <c r="A212" s="6">
        <f t="shared" si="136"/>
        <v>17</v>
      </c>
      <c r="B212" s="3" t="s">
        <v>141</v>
      </c>
      <c r="C212" s="43">
        <v>6279.3</v>
      </c>
      <c r="D212" s="5">
        <f t="shared" si="137"/>
        <v>6.17</v>
      </c>
      <c r="E212" s="5"/>
      <c r="F212" s="7">
        <f t="shared" si="119"/>
        <v>4.01</v>
      </c>
      <c r="G212" s="2">
        <v>0.5</v>
      </c>
      <c r="H212" s="2">
        <f t="shared" si="138"/>
        <v>37675.8</v>
      </c>
      <c r="I212" s="2">
        <v>0.6</v>
      </c>
      <c r="J212" s="2">
        <f t="shared" si="139"/>
        <v>45210.96</v>
      </c>
      <c r="K212" s="190"/>
      <c r="L212" s="2">
        <f t="shared" si="140"/>
        <v>0</v>
      </c>
      <c r="M212" s="190">
        <v>2.58</v>
      </c>
      <c r="N212" s="2">
        <f t="shared" si="141"/>
        <v>194407.12800000003</v>
      </c>
      <c r="O212" s="190"/>
      <c r="P212" s="2">
        <f t="shared" si="142"/>
        <v>0</v>
      </c>
      <c r="Q212" s="190"/>
      <c r="R212" s="2">
        <f t="shared" si="143"/>
        <v>0</v>
      </c>
      <c r="S212" s="2">
        <v>0.17</v>
      </c>
      <c r="T212" s="21">
        <f t="shared" si="144"/>
        <v>12809.772</v>
      </c>
      <c r="U212" s="2">
        <v>0.16</v>
      </c>
      <c r="V212" s="21">
        <f t="shared" si="145"/>
        <v>12056.256000000001</v>
      </c>
      <c r="W212" s="6">
        <f>W211+1</f>
        <v>17</v>
      </c>
      <c r="X212" s="3" t="s">
        <v>141</v>
      </c>
      <c r="Y212" s="43">
        <v>6279.3</v>
      </c>
      <c r="Z212" s="32">
        <f t="shared" si="146"/>
        <v>2.16</v>
      </c>
      <c r="AA212" s="2">
        <v>0.9</v>
      </c>
      <c r="AB212" s="21">
        <f t="shared" si="147"/>
        <v>67816.44</v>
      </c>
      <c r="AC212" s="2">
        <v>0.4</v>
      </c>
      <c r="AD212" s="21">
        <f t="shared" si="148"/>
        <v>30140.640000000003</v>
      </c>
      <c r="AE212" s="2">
        <v>0.4</v>
      </c>
      <c r="AF212" s="21">
        <f t="shared" si="154"/>
        <v>30140.640000000003</v>
      </c>
      <c r="AG212" s="2">
        <v>0.3</v>
      </c>
      <c r="AH212" s="21">
        <f t="shared" si="149"/>
        <v>22605.48</v>
      </c>
      <c r="AI212" s="2">
        <v>0.16</v>
      </c>
      <c r="AJ212" s="21">
        <f t="shared" si="118"/>
        <v>12056.256000000001</v>
      </c>
      <c r="AK212" s="32">
        <f t="shared" si="150"/>
        <v>0</v>
      </c>
      <c r="AL212" s="2"/>
      <c r="AM212" s="21">
        <f t="shared" si="151"/>
        <v>0</v>
      </c>
      <c r="AN212" s="190"/>
      <c r="AO212" s="21">
        <f t="shared" si="152"/>
        <v>0</v>
      </c>
      <c r="AP212" s="190"/>
      <c r="AQ212" s="21">
        <f t="shared" si="133"/>
        <v>0</v>
      </c>
      <c r="AR212" s="190"/>
      <c r="AS212" s="21">
        <f t="shared" si="153"/>
        <v>0</v>
      </c>
      <c r="AT212" s="190"/>
      <c r="AU212" s="21">
        <f t="shared" si="135"/>
        <v>0</v>
      </c>
      <c r="AV212" s="16"/>
    </row>
    <row r="213" spans="1:48" ht="12.75">
      <c r="A213" s="6">
        <f t="shared" si="136"/>
        <v>18</v>
      </c>
      <c r="B213" s="3" t="s">
        <v>142</v>
      </c>
      <c r="C213" s="43">
        <v>1263.4</v>
      </c>
      <c r="D213" s="5">
        <f t="shared" si="137"/>
        <v>6.75</v>
      </c>
      <c r="E213" s="5"/>
      <c r="F213" s="7">
        <f t="shared" si="119"/>
        <v>3.88</v>
      </c>
      <c r="G213" s="2">
        <v>0.7</v>
      </c>
      <c r="H213" s="2">
        <f t="shared" si="138"/>
        <v>10612.56</v>
      </c>
      <c r="I213" s="2">
        <v>0.8</v>
      </c>
      <c r="J213" s="2">
        <f t="shared" si="139"/>
        <v>12128.640000000001</v>
      </c>
      <c r="K213" s="190"/>
      <c r="L213" s="2">
        <f t="shared" si="140"/>
        <v>0</v>
      </c>
      <c r="M213" s="190">
        <v>2</v>
      </c>
      <c r="N213" s="2">
        <f t="shared" si="141"/>
        <v>30321.600000000002</v>
      </c>
      <c r="O213" s="190"/>
      <c r="P213" s="2">
        <f t="shared" si="142"/>
        <v>0</v>
      </c>
      <c r="Q213" s="190"/>
      <c r="R213" s="2">
        <f t="shared" si="143"/>
        <v>0</v>
      </c>
      <c r="S213" s="2">
        <v>0.21</v>
      </c>
      <c r="T213" s="21">
        <f t="shared" si="144"/>
        <v>3183.768</v>
      </c>
      <c r="U213" s="2">
        <v>0.17</v>
      </c>
      <c r="V213" s="21">
        <f t="shared" si="145"/>
        <v>2577.3360000000002</v>
      </c>
      <c r="W213" s="6">
        <f>W212+1</f>
        <v>18</v>
      </c>
      <c r="X213" s="3" t="s">
        <v>142</v>
      </c>
      <c r="Y213" s="43">
        <v>1263.4</v>
      </c>
      <c r="Z213" s="32">
        <f t="shared" si="146"/>
        <v>2.87</v>
      </c>
      <c r="AA213" s="2">
        <v>0.91</v>
      </c>
      <c r="AB213" s="21">
        <f t="shared" si="147"/>
        <v>13796.328000000001</v>
      </c>
      <c r="AC213" s="2">
        <v>0.62</v>
      </c>
      <c r="AD213" s="21">
        <f t="shared" si="148"/>
        <v>9399.696000000002</v>
      </c>
      <c r="AE213" s="2">
        <v>0.62</v>
      </c>
      <c r="AF213" s="21">
        <f t="shared" si="154"/>
        <v>9399.696000000002</v>
      </c>
      <c r="AG213" s="2">
        <v>0.55</v>
      </c>
      <c r="AH213" s="21">
        <f t="shared" si="149"/>
        <v>8338.440000000002</v>
      </c>
      <c r="AI213" s="2">
        <v>0.17</v>
      </c>
      <c r="AJ213" s="21">
        <f t="shared" si="118"/>
        <v>2577.3360000000002</v>
      </c>
      <c r="AK213" s="32">
        <f t="shared" si="150"/>
        <v>0</v>
      </c>
      <c r="AL213" s="2"/>
      <c r="AM213" s="21">
        <f t="shared" si="151"/>
        <v>0</v>
      </c>
      <c r="AN213" s="190"/>
      <c r="AO213" s="21">
        <f t="shared" si="152"/>
        <v>0</v>
      </c>
      <c r="AP213" s="190"/>
      <c r="AQ213" s="21">
        <f t="shared" si="133"/>
        <v>0</v>
      </c>
      <c r="AR213" s="190"/>
      <c r="AS213" s="21">
        <f t="shared" si="153"/>
        <v>0</v>
      </c>
      <c r="AT213" s="190"/>
      <c r="AU213" s="21">
        <f t="shared" si="135"/>
        <v>0</v>
      </c>
      <c r="AV213" s="16"/>
    </row>
    <row r="214" spans="1:48" ht="12.75">
      <c r="A214" s="6">
        <f t="shared" si="136"/>
        <v>19</v>
      </c>
      <c r="B214" s="3" t="s">
        <v>143</v>
      </c>
      <c r="C214" s="43">
        <v>2413.5</v>
      </c>
      <c r="D214" s="5">
        <f t="shared" si="137"/>
        <v>5.859999999999999</v>
      </c>
      <c r="E214" s="5"/>
      <c r="F214" s="7">
        <f t="shared" si="119"/>
        <v>2.85</v>
      </c>
      <c r="G214" s="2">
        <v>0.3</v>
      </c>
      <c r="H214" s="2">
        <f t="shared" si="138"/>
        <v>8688.599999999999</v>
      </c>
      <c r="I214" s="2"/>
      <c r="J214" s="2">
        <f t="shared" si="139"/>
        <v>0</v>
      </c>
      <c r="K214" s="190"/>
      <c r="L214" s="2">
        <f t="shared" si="140"/>
        <v>0</v>
      </c>
      <c r="M214" s="190">
        <v>2.24</v>
      </c>
      <c r="N214" s="2">
        <f t="shared" si="141"/>
        <v>64874.880000000005</v>
      </c>
      <c r="O214" s="190"/>
      <c r="P214" s="2">
        <f t="shared" si="142"/>
        <v>0</v>
      </c>
      <c r="Q214" s="190"/>
      <c r="R214" s="2">
        <f t="shared" si="143"/>
        <v>0</v>
      </c>
      <c r="S214" s="2">
        <v>0.12</v>
      </c>
      <c r="T214" s="21">
        <f t="shared" si="144"/>
        <v>3475.44</v>
      </c>
      <c r="U214" s="2">
        <v>0.19</v>
      </c>
      <c r="V214" s="21">
        <f t="shared" si="145"/>
        <v>5502.78</v>
      </c>
      <c r="W214" s="6">
        <f>W213+1</f>
        <v>19</v>
      </c>
      <c r="X214" s="3" t="s">
        <v>143</v>
      </c>
      <c r="Y214" s="43">
        <v>2413.5</v>
      </c>
      <c r="Z214" s="32">
        <f t="shared" si="146"/>
        <v>2.01</v>
      </c>
      <c r="AA214" s="2">
        <v>0.6</v>
      </c>
      <c r="AB214" s="21">
        <f t="shared" si="147"/>
        <v>17377.199999999997</v>
      </c>
      <c r="AC214" s="2">
        <v>0.45</v>
      </c>
      <c r="AD214" s="21">
        <f t="shared" si="148"/>
        <v>13032.900000000001</v>
      </c>
      <c r="AE214" s="2">
        <v>0.45</v>
      </c>
      <c r="AF214" s="21">
        <f t="shared" si="154"/>
        <v>13032.900000000001</v>
      </c>
      <c r="AG214" s="2">
        <v>0.4</v>
      </c>
      <c r="AH214" s="21">
        <f t="shared" si="149"/>
        <v>11584.800000000001</v>
      </c>
      <c r="AI214" s="2">
        <v>0.11</v>
      </c>
      <c r="AJ214" s="21">
        <f t="shared" si="118"/>
        <v>3185.82</v>
      </c>
      <c r="AK214" s="32">
        <f t="shared" si="150"/>
        <v>1</v>
      </c>
      <c r="AL214" s="2">
        <v>1</v>
      </c>
      <c r="AM214" s="21">
        <f t="shared" si="151"/>
        <v>28962</v>
      </c>
      <c r="AN214" s="190"/>
      <c r="AO214" s="21">
        <f t="shared" si="152"/>
        <v>0</v>
      </c>
      <c r="AP214" s="190"/>
      <c r="AQ214" s="21">
        <f t="shared" si="133"/>
        <v>0</v>
      </c>
      <c r="AR214" s="190"/>
      <c r="AS214" s="21">
        <f t="shared" si="153"/>
        <v>0</v>
      </c>
      <c r="AT214" s="190"/>
      <c r="AU214" s="21">
        <f t="shared" si="135"/>
        <v>0</v>
      </c>
      <c r="AV214" s="16"/>
    </row>
    <row r="215" spans="1:48" ht="12.75">
      <c r="A215" s="6">
        <f t="shared" si="136"/>
        <v>20</v>
      </c>
      <c r="B215" s="3" t="s">
        <v>144</v>
      </c>
      <c r="C215" s="43">
        <v>2448.28</v>
      </c>
      <c r="D215" s="5">
        <f t="shared" si="137"/>
        <v>6.34</v>
      </c>
      <c r="E215" s="5"/>
      <c r="F215" s="7">
        <f t="shared" si="119"/>
        <v>4.29</v>
      </c>
      <c r="G215" s="2">
        <v>0.3</v>
      </c>
      <c r="H215" s="2">
        <f t="shared" si="138"/>
        <v>8813.808</v>
      </c>
      <c r="I215" s="2">
        <v>0.3</v>
      </c>
      <c r="J215" s="2">
        <f t="shared" si="139"/>
        <v>8813.808</v>
      </c>
      <c r="K215" s="190"/>
      <c r="L215" s="2">
        <f t="shared" si="140"/>
        <v>0</v>
      </c>
      <c r="M215" s="190">
        <v>3.27</v>
      </c>
      <c r="N215" s="2">
        <f t="shared" si="141"/>
        <v>96070.50720000001</v>
      </c>
      <c r="O215" s="190"/>
      <c r="P215" s="2">
        <f t="shared" si="142"/>
        <v>0</v>
      </c>
      <c r="Q215" s="190"/>
      <c r="R215" s="2">
        <f t="shared" si="143"/>
        <v>0</v>
      </c>
      <c r="S215" s="2">
        <v>0.07</v>
      </c>
      <c r="T215" s="21">
        <f t="shared" si="144"/>
        <v>2056.5552000000007</v>
      </c>
      <c r="U215" s="2">
        <v>0.35</v>
      </c>
      <c r="V215" s="21">
        <f t="shared" si="145"/>
        <v>10282.776</v>
      </c>
      <c r="W215" s="6">
        <f>W214+1</f>
        <v>20</v>
      </c>
      <c r="X215" s="3" t="s">
        <v>144</v>
      </c>
      <c r="Y215" s="43">
        <v>2448.28</v>
      </c>
      <c r="Z215" s="32">
        <f t="shared" si="146"/>
        <v>1.21</v>
      </c>
      <c r="AA215" s="2">
        <v>0.3</v>
      </c>
      <c r="AB215" s="21">
        <f t="shared" si="147"/>
        <v>8813.808</v>
      </c>
      <c r="AC215" s="2">
        <v>0.3</v>
      </c>
      <c r="AD215" s="21">
        <f t="shared" si="148"/>
        <v>8813.808</v>
      </c>
      <c r="AE215" s="2">
        <v>0.3</v>
      </c>
      <c r="AF215" s="21">
        <f t="shared" si="154"/>
        <v>8813.808</v>
      </c>
      <c r="AG215" s="2">
        <v>0.2</v>
      </c>
      <c r="AH215" s="21">
        <f t="shared" si="149"/>
        <v>5875.872000000001</v>
      </c>
      <c r="AI215" s="2">
        <v>0.11</v>
      </c>
      <c r="AJ215" s="21">
        <f t="shared" si="118"/>
        <v>3231.7296000000006</v>
      </c>
      <c r="AK215" s="32">
        <f t="shared" si="150"/>
        <v>0.84</v>
      </c>
      <c r="AL215" s="2">
        <v>0.84</v>
      </c>
      <c r="AM215" s="21">
        <f t="shared" si="151"/>
        <v>24678.6624</v>
      </c>
      <c r="AN215" s="190"/>
      <c r="AO215" s="21">
        <f t="shared" si="152"/>
        <v>0</v>
      </c>
      <c r="AP215" s="190"/>
      <c r="AQ215" s="21">
        <f t="shared" si="133"/>
        <v>0</v>
      </c>
      <c r="AR215" s="190"/>
      <c r="AS215" s="21">
        <f t="shared" si="153"/>
        <v>0</v>
      </c>
      <c r="AT215" s="190"/>
      <c r="AU215" s="21">
        <f t="shared" si="135"/>
        <v>0</v>
      </c>
      <c r="AV215" s="16"/>
    </row>
    <row r="216" spans="1:48" ht="12.75">
      <c r="A216" s="6">
        <f t="shared" si="136"/>
        <v>21</v>
      </c>
      <c r="B216" s="3" t="s">
        <v>145</v>
      </c>
      <c r="C216" s="43">
        <v>3086.1</v>
      </c>
      <c r="D216" s="5">
        <f t="shared" si="137"/>
        <v>6.420000000000001</v>
      </c>
      <c r="E216" s="5"/>
      <c r="F216" s="7">
        <f t="shared" si="119"/>
        <v>1.3200000000000003</v>
      </c>
      <c r="G216" s="2">
        <v>0.3</v>
      </c>
      <c r="H216" s="2">
        <f t="shared" si="138"/>
        <v>11109.96</v>
      </c>
      <c r="I216" s="2">
        <v>0.8</v>
      </c>
      <c r="J216" s="2">
        <f t="shared" si="139"/>
        <v>29626.56</v>
      </c>
      <c r="K216" s="190"/>
      <c r="L216" s="2">
        <f t="shared" si="140"/>
        <v>0</v>
      </c>
      <c r="M216" s="190"/>
      <c r="N216" s="2">
        <f t="shared" si="141"/>
        <v>0</v>
      </c>
      <c r="O216" s="190"/>
      <c r="P216" s="2">
        <f t="shared" si="142"/>
        <v>0</v>
      </c>
      <c r="Q216" s="190"/>
      <c r="R216" s="2">
        <f t="shared" si="143"/>
        <v>0</v>
      </c>
      <c r="S216" s="2">
        <v>0.1</v>
      </c>
      <c r="T216" s="21">
        <f t="shared" si="144"/>
        <v>3703.32</v>
      </c>
      <c r="U216" s="2">
        <v>0.12</v>
      </c>
      <c r="V216" s="21">
        <f t="shared" si="145"/>
        <v>4443.984</v>
      </c>
      <c r="W216" s="6">
        <f>W215+1</f>
        <v>21</v>
      </c>
      <c r="X216" s="3" t="s">
        <v>145</v>
      </c>
      <c r="Y216" s="43">
        <v>3086.1</v>
      </c>
      <c r="Z216" s="32">
        <f t="shared" si="146"/>
        <v>1.87</v>
      </c>
      <c r="AA216" s="2">
        <v>0.8</v>
      </c>
      <c r="AB216" s="21">
        <f t="shared" si="147"/>
        <v>29626.56</v>
      </c>
      <c r="AC216" s="2">
        <v>0.3</v>
      </c>
      <c r="AD216" s="21">
        <f t="shared" si="148"/>
        <v>11109.96</v>
      </c>
      <c r="AE216" s="2">
        <v>0.3</v>
      </c>
      <c r="AF216" s="21">
        <f t="shared" si="154"/>
        <v>11109.96</v>
      </c>
      <c r="AG216" s="2">
        <v>0.3</v>
      </c>
      <c r="AH216" s="21">
        <f t="shared" si="149"/>
        <v>11109.96</v>
      </c>
      <c r="AI216" s="2">
        <v>0.17</v>
      </c>
      <c r="AJ216" s="21">
        <f t="shared" si="118"/>
        <v>6295.644</v>
      </c>
      <c r="AK216" s="32">
        <f t="shared" si="150"/>
        <v>3.2300000000000004</v>
      </c>
      <c r="AL216" s="2">
        <v>0.78</v>
      </c>
      <c r="AM216" s="21">
        <f t="shared" si="151"/>
        <v>28885.896</v>
      </c>
      <c r="AN216" s="190">
        <v>1.5</v>
      </c>
      <c r="AO216" s="21">
        <f t="shared" si="152"/>
        <v>55549.799999999996</v>
      </c>
      <c r="AP216" s="190"/>
      <c r="AQ216" s="21">
        <f t="shared" si="133"/>
        <v>0</v>
      </c>
      <c r="AR216" s="190"/>
      <c r="AS216" s="21">
        <f t="shared" si="153"/>
        <v>0</v>
      </c>
      <c r="AT216" s="190">
        <v>0.95</v>
      </c>
      <c r="AU216" s="21">
        <f t="shared" si="135"/>
        <v>35181.53999999999</v>
      </c>
      <c r="AV216" s="16"/>
    </row>
    <row r="217" spans="1:48" ht="12.75">
      <c r="A217" s="6">
        <f t="shared" si="136"/>
        <v>22</v>
      </c>
      <c r="B217" s="3" t="s">
        <v>223</v>
      </c>
      <c r="C217" s="12">
        <v>2035.9</v>
      </c>
      <c r="D217" s="5">
        <f t="shared" si="137"/>
        <v>0.8300000000000001</v>
      </c>
      <c r="E217" s="5"/>
      <c r="F217" s="7">
        <f t="shared" si="119"/>
        <v>0.2</v>
      </c>
      <c r="G217" s="2"/>
      <c r="H217" s="2">
        <f t="shared" si="138"/>
        <v>0</v>
      </c>
      <c r="I217" s="2"/>
      <c r="J217" s="2">
        <f t="shared" si="139"/>
        <v>0</v>
      </c>
      <c r="K217" s="190"/>
      <c r="L217" s="2">
        <f t="shared" si="140"/>
        <v>0</v>
      </c>
      <c r="M217" s="190"/>
      <c r="N217" s="2">
        <f t="shared" si="141"/>
        <v>0</v>
      </c>
      <c r="O217" s="190"/>
      <c r="P217" s="2">
        <f t="shared" si="142"/>
        <v>0</v>
      </c>
      <c r="Q217" s="190"/>
      <c r="R217" s="2">
        <f t="shared" si="143"/>
        <v>0</v>
      </c>
      <c r="S217" s="2">
        <v>0.2</v>
      </c>
      <c r="T217" s="21">
        <f t="shared" si="144"/>
        <v>4886.160000000001</v>
      </c>
      <c r="U217" s="2"/>
      <c r="V217" s="21">
        <f t="shared" si="145"/>
        <v>0</v>
      </c>
      <c r="W217" s="6">
        <f aca="true" t="shared" si="155" ref="W217:W242">W216+1</f>
        <v>22</v>
      </c>
      <c r="X217" s="3" t="s">
        <v>223</v>
      </c>
      <c r="Y217" s="12">
        <v>2035.9</v>
      </c>
      <c r="Z217" s="32">
        <f t="shared" si="146"/>
        <v>0</v>
      </c>
      <c r="AA217" s="2"/>
      <c r="AB217" s="21">
        <f t="shared" si="147"/>
        <v>0</v>
      </c>
      <c r="AC217" s="2"/>
      <c r="AD217" s="21">
        <f t="shared" si="148"/>
        <v>0</v>
      </c>
      <c r="AE217" s="2"/>
      <c r="AF217" s="21">
        <f t="shared" si="154"/>
        <v>0</v>
      </c>
      <c r="AG217" s="2"/>
      <c r="AH217" s="21">
        <f t="shared" si="149"/>
        <v>0</v>
      </c>
      <c r="AI217" s="2"/>
      <c r="AJ217" s="21">
        <f t="shared" si="118"/>
        <v>0</v>
      </c>
      <c r="AK217" s="32">
        <f t="shared" si="150"/>
        <v>0.63</v>
      </c>
      <c r="AL217" s="2"/>
      <c r="AM217" s="21">
        <f t="shared" si="151"/>
        <v>0</v>
      </c>
      <c r="AN217" s="190">
        <v>0.63</v>
      </c>
      <c r="AO217" s="21">
        <f t="shared" si="152"/>
        <v>15391.403999999999</v>
      </c>
      <c r="AP217" s="190"/>
      <c r="AQ217" s="21">
        <f t="shared" si="133"/>
        <v>0</v>
      </c>
      <c r="AR217" s="190"/>
      <c r="AS217" s="21">
        <f t="shared" si="153"/>
        <v>0</v>
      </c>
      <c r="AT217" s="190"/>
      <c r="AU217" s="21">
        <f t="shared" si="135"/>
        <v>0</v>
      </c>
      <c r="AV217" s="16"/>
    </row>
    <row r="218" spans="1:48" ht="12.75">
      <c r="A218" s="6">
        <f t="shared" si="136"/>
        <v>23</v>
      </c>
      <c r="B218" s="3" t="s">
        <v>146</v>
      </c>
      <c r="C218" s="12">
        <v>1891.8</v>
      </c>
      <c r="D218" s="5">
        <f t="shared" si="137"/>
        <v>0.38</v>
      </c>
      <c r="E218" s="5"/>
      <c r="F218" s="7">
        <f t="shared" si="119"/>
        <v>0.23</v>
      </c>
      <c r="G218" s="2"/>
      <c r="H218" s="2">
        <f t="shared" si="138"/>
        <v>0</v>
      </c>
      <c r="I218" s="2"/>
      <c r="J218" s="2">
        <f t="shared" si="139"/>
        <v>0</v>
      </c>
      <c r="K218" s="190"/>
      <c r="L218" s="2">
        <f t="shared" si="140"/>
        <v>0</v>
      </c>
      <c r="M218" s="190"/>
      <c r="N218" s="2">
        <f t="shared" si="141"/>
        <v>0</v>
      </c>
      <c r="O218" s="190"/>
      <c r="P218" s="2">
        <f t="shared" si="142"/>
        <v>0</v>
      </c>
      <c r="Q218" s="190"/>
      <c r="R218" s="2">
        <f t="shared" si="143"/>
        <v>0</v>
      </c>
      <c r="S218" s="2">
        <v>0.2</v>
      </c>
      <c r="T218" s="21">
        <f t="shared" si="144"/>
        <v>4540.32</v>
      </c>
      <c r="U218" s="2">
        <v>0.03</v>
      </c>
      <c r="V218" s="21">
        <f t="shared" si="145"/>
        <v>681.048</v>
      </c>
      <c r="W218" s="6">
        <f t="shared" si="155"/>
        <v>23</v>
      </c>
      <c r="X218" s="3" t="s">
        <v>146</v>
      </c>
      <c r="Y218" s="12">
        <v>1891.8</v>
      </c>
      <c r="Z218" s="32">
        <f t="shared" si="146"/>
        <v>0.15</v>
      </c>
      <c r="AA218" s="2">
        <v>0.04</v>
      </c>
      <c r="AB218" s="21">
        <f t="shared" si="147"/>
        <v>908.064</v>
      </c>
      <c r="AC218" s="2">
        <v>0.03</v>
      </c>
      <c r="AD218" s="21">
        <f t="shared" si="148"/>
        <v>681.048</v>
      </c>
      <c r="AE218" s="2">
        <v>0.03</v>
      </c>
      <c r="AF218" s="21">
        <f t="shared" si="154"/>
        <v>681.048</v>
      </c>
      <c r="AG218" s="2">
        <v>0.03</v>
      </c>
      <c r="AH218" s="21">
        <f t="shared" si="149"/>
        <v>681.048</v>
      </c>
      <c r="AI218" s="2">
        <v>0.02</v>
      </c>
      <c r="AJ218" s="21">
        <f t="shared" si="118"/>
        <v>454.032</v>
      </c>
      <c r="AK218" s="32">
        <f t="shared" si="150"/>
        <v>0</v>
      </c>
      <c r="AL218" s="2"/>
      <c r="AM218" s="21">
        <f t="shared" si="151"/>
        <v>0</v>
      </c>
      <c r="AN218" s="190"/>
      <c r="AO218" s="21">
        <f t="shared" si="152"/>
        <v>0</v>
      </c>
      <c r="AP218" s="190"/>
      <c r="AQ218" s="21">
        <f t="shared" si="133"/>
        <v>0</v>
      </c>
      <c r="AR218" s="190"/>
      <c r="AS218" s="21">
        <f t="shared" si="153"/>
        <v>0</v>
      </c>
      <c r="AT218" s="190"/>
      <c r="AU218" s="21">
        <f t="shared" si="135"/>
        <v>0</v>
      </c>
      <c r="AV218" s="16"/>
    </row>
    <row r="219" spans="1:48" ht="12.75">
      <c r="A219" s="6">
        <f t="shared" si="136"/>
        <v>24</v>
      </c>
      <c r="B219" s="3" t="s">
        <v>147</v>
      </c>
      <c r="C219" s="170">
        <v>3064</v>
      </c>
      <c r="D219" s="5">
        <f t="shared" si="137"/>
        <v>6.49</v>
      </c>
      <c r="E219" s="5"/>
      <c r="F219" s="7">
        <f t="shared" si="119"/>
        <v>1.09</v>
      </c>
      <c r="G219" s="2">
        <v>0.89</v>
      </c>
      <c r="H219" s="2">
        <f t="shared" si="138"/>
        <v>32723.52</v>
      </c>
      <c r="I219" s="2"/>
      <c r="J219" s="2">
        <f t="shared" si="139"/>
        <v>0</v>
      </c>
      <c r="K219" s="190"/>
      <c r="L219" s="2">
        <f t="shared" si="140"/>
        <v>0</v>
      </c>
      <c r="M219" s="190"/>
      <c r="N219" s="2">
        <f t="shared" si="141"/>
        <v>0</v>
      </c>
      <c r="O219" s="190"/>
      <c r="P219" s="2">
        <f t="shared" si="142"/>
        <v>0</v>
      </c>
      <c r="Q219" s="190"/>
      <c r="R219" s="2">
        <f t="shared" si="143"/>
        <v>0</v>
      </c>
      <c r="S219" s="2">
        <v>0.1</v>
      </c>
      <c r="T219" s="21">
        <f t="shared" si="144"/>
        <v>3676.8</v>
      </c>
      <c r="U219" s="2">
        <v>0.1</v>
      </c>
      <c r="V219" s="21">
        <f t="shared" si="145"/>
        <v>3676.8</v>
      </c>
      <c r="W219" s="6">
        <f t="shared" si="155"/>
        <v>24</v>
      </c>
      <c r="X219" s="3" t="s">
        <v>147</v>
      </c>
      <c r="Y219" s="170">
        <v>3064</v>
      </c>
      <c r="Z219" s="32">
        <f t="shared" si="146"/>
        <v>5.4</v>
      </c>
      <c r="AA219" s="2">
        <v>1.5</v>
      </c>
      <c r="AB219" s="21">
        <f t="shared" si="147"/>
        <v>55152</v>
      </c>
      <c r="AC219" s="2">
        <v>1.2</v>
      </c>
      <c r="AD219" s="21">
        <f t="shared" si="148"/>
        <v>44121.6</v>
      </c>
      <c r="AE219" s="2">
        <v>1.2</v>
      </c>
      <c r="AF219" s="21">
        <f t="shared" si="154"/>
        <v>44121.6</v>
      </c>
      <c r="AG219" s="2">
        <v>1.1</v>
      </c>
      <c r="AH219" s="21">
        <f t="shared" si="149"/>
        <v>40444.8</v>
      </c>
      <c r="AI219" s="2">
        <v>0.4</v>
      </c>
      <c r="AJ219" s="21">
        <f t="shared" si="118"/>
        <v>14707.2</v>
      </c>
      <c r="AK219" s="32">
        <f t="shared" si="150"/>
        <v>0</v>
      </c>
      <c r="AL219" s="2"/>
      <c r="AM219" s="21">
        <f t="shared" si="151"/>
        <v>0</v>
      </c>
      <c r="AN219" s="190"/>
      <c r="AO219" s="21">
        <f t="shared" si="152"/>
        <v>0</v>
      </c>
      <c r="AP219" s="190"/>
      <c r="AQ219" s="21">
        <f t="shared" si="133"/>
        <v>0</v>
      </c>
      <c r="AR219" s="190"/>
      <c r="AS219" s="21">
        <f t="shared" si="153"/>
        <v>0</v>
      </c>
      <c r="AT219" s="190"/>
      <c r="AU219" s="21">
        <f t="shared" si="135"/>
        <v>0</v>
      </c>
      <c r="AV219" s="16"/>
    </row>
    <row r="220" spans="1:48" ht="12.75">
      <c r="A220" s="6">
        <f t="shared" si="136"/>
        <v>25</v>
      </c>
      <c r="B220" s="3" t="s">
        <v>148</v>
      </c>
      <c r="C220" s="170">
        <v>3074.9</v>
      </c>
      <c r="D220" s="5">
        <f t="shared" si="137"/>
        <v>6.82</v>
      </c>
      <c r="E220" s="5"/>
      <c r="F220" s="7">
        <f t="shared" si="119"/>
        <v>1.8699999999999999</v>
      </c>
      <c r="G220" s="2">
        <v>1.5</v>
      </c>
      <c r="H220" s="2">
        <f t="shared" si="138"/>
        <v>55348.200000000004</v>
      </c>
      <c r="I220" s="2"/>
      <c r="J220" s="2">
        <f t="shared" si="139"/>
        <v>0</v>
      </c>
      <c r="K220" s="190"/>
      <c r="L220" s="2">
        <f t="shared" si="140"/>
        <v>0</v>
      </c>
      <c r="M220" s="190"/>
      <c r="N220" s="2">
        <f t="shared" si="141"/>
        <v>0</v>
      </c>
      <c r="O220" s="190"/>
      <c r="P220" s="2">
        <f t="shared" si="142"/>
        <v>0</v>
      </c>
      <c r="Q220" s="190"/>
      <c r="R220" s="2">
        <f t="shared" si="143"/>
        <v>0</v>
      </c>
      <c r="S220" s="2">
        <v>0.2</v>
      </c>
      <c r="T220" s="21">
        <f t="shared" si="144"/>
        <v>7379.76</v>
      </c>
      <c r="U220" s="2">
        <v>0.17</v>
      </c>
      <c r="V220" s="21">
        <f t="shared" si="145"/>
        <v>6272.796</v>
      </c>
      <c r="W220" s="6">
        <f t="shared" si="155"/>
        <v>25</v>
      </c>
      <c r="X220" s="3" t="s">
        <v>148</v>
      </c>
      <c r="Y220" s="170">
        <v>3074.9</v>
      </c>
      <c r="Z220" s="32">
        <f t="shared" si="146"/>
        <v>4.95</v>
      </c>
      <c r="AA220" s="2">
        <v>1.5</v>
      </c>
      <c r="AB220" s="21">
        <f t="shared" si="147"/>
        <v>55348.200000000004</v>
      </c>
      <c r="AC220" s="2">
        <v>1</v>
      </c>
      <c r="AD220" s="21">
        <f t="shared" si="148"/>
        <v>36898.8</v>
      </c>
      <c r="AE220" s="2">
        <v>1</v>
      </c>
      <c r="AF220" s="21">
        <f t="shared" si="154"/>
        <v>36898.8</v>
      </c>
      <c r="AG220" s="2">
        <v>1</v>
      </c>
      <c r="AH220" s="21">
        <f t="shared" si="149"/>
        <v>36898.8</v>
      </c>
      <c r="AI220" s="2">
        <v>0.45</v>
      </c>
      <c r="AJ220" s="21">
        <f t="shared" si="118"/>
        <v>16604.460000000003</v>
      </c>
      <c r="AK220" s="32">
        <f t="shared" si="150"/>
        <v>0</v>
      </c>
      <c r="AL220" s="2"/>
      <c r="AM220" s="21">
        <f t="shared" si="151"/>
        <v>0</v>
      </c>
      <c r="AN220" s="190"/>
      <c r="AO220" s="21">
        <f t="shared" si="152"/>
        <v>0</v>
      </c>
      <c r="AP220" s="190"/>
      <c r="AQ220" s="21">
        <f t="shared" si="133"/>
        <v>0</v>
      </c>
      <c r="AR220" s="190"/>
      <c r="AS220" s="21">
        <f t="shared" si="153"/>
        <v>0</v>
      </c>
      <c r="AT220" s="190"/>
      <c r="AU220" s="21">
        <f t="shared" si="135"/>
        <v>0</v>
      </c>
      <c r="AV220" s="16"/>
    </row>
    <row r="221" spans="1:48" ht="12.75">
      <c r="A221" s="6">
        <f t="shared" si="136"/>
        <v>26</v>
      </c>
      <c r="B221" s="3" t="s">
        <v>149</v>
      </c>
      <c r="C221" s="12">
        <v>3452.5</v>
      </c>
      <c r="D221" s="5">
        <f t="shared" si="137"/>
        <v>6.459999999999999</v>
      </c>
      <c r="E221" s="5"/>
      <c r="F221" s="7">
        <f t="shared" si="119"/>
        <v>4.369999999999999</v>
      </c>
      <c r="G221" s="2">
        <v>0.3</v>
      </c>
      <c r="H221" s="2">
        <f t="shared" si="138"/>
        <v>12429</v>
      </c>
      <c r="I221" s="2">
        <v>0.3</v>
      </c>
      <c r="J221" s="2">
        <f t="shared" si="139"/>
        <v>12429</v>
      </c>
      <c r="K221" s="190"/>
      <c r="L221" s="2">
        <f t="shared" si="140"/>
        <v>0</v>
      </c>
      <c r="M221" s="190">
        <v>3.4</v>
      </c>
      <c r="N221" s="2">
        <f t="shared" si="141"/>
        <v>140862</v>
      </c>
      <c r="O221" s="190"/>
      <c r="P221" s="2">
        <f t="shared" si="142"/>
        <v>0</v>
      </c>
      <c r="Q221" s="190"/>
      <c r="R221" s="2">
        <f t="shared" si="143"/>
        <v>0</v>
      </c>
      <c r="S221" s="2">
        <v>0.1</v>
      </c>
      <c r="T221" s="21">
        <f t="shared" si="144"/>
        <v>4143</v>
      </c>
      <c r="U221" s="2">
        <v>0.27</v>
      </c>
      <c r="V221" s="21">
        <f t="shared" si="145"/>
        <v>11186.1</v>
      </c>
      <c r="W221" s="6">
        <f t="shared" si="155"/>
        <v>26</v>
      </c>
      <c r="X221" s="3" t="s">
        <v>149</v>
      </c>
      <c r="Y221" s="12">
        <v>3452.5</v>
      </c>
      <c r="Z221" s="32">
        <f t="shared" si="146"/>
        <v>2.0900000000000003</v>
      </c>
      <c r="AA221" s="2">
        <v>0.8</v>
      </c>
      <c r="AB221" s="21">
        <f t="shared" si="147"/>
        <v>33144</v>
      </c>
      <c r="AC221" s="2">
        <v>0.5</v>
      </c>
      <c r="AD221" s="21">
        <f t="shared" si="148"/>
        <v>20715</v>
      </c>
      <c r="AE221" s="2">
        <v>0.3</v>
      </c>
      <c r="AF221" s="21">
        <f t="shared" si="154"/>
        <v>12429</v>
      </c>
      <c r="AG221" s="2">
        <v>0.3</v>
      </c>
      <c r="AH221" s="21">
        <f t="shared" si="149"/>
        <v>12429</v>
      </c>
      <c r="AI221" s="2">
        <v>0.19</v>
      </c>
      <c r="AJ221" s="21">
        <f t="shared" si="118"/>
        <v>7871.700000000001</v>
      </c>
      <c r="AK221" s="32">
        <f t="shared" si="150"/>
        <v>0</v>
      </c>
      <c r="AL221" s="2"/>
      <c r="AM221" s="21">
        <f t="shared" si="151"/>
        <v>0</v>
      </c>
      <c r="AN221" s="190"/>
      <c r="AO221" s="21">
        <f t="shared" si="152"/>
        <v>0</v>
      </c>
      <c r="AP221" s="190"/>
      <c r="AQ221" s="21">
        <f t="shared" si="133"/>
        <v>0</v>
      </c>
      <c r="AR221" s="190"/>
      <c r="AS221" s="21">
        <f t="shared" si="153"/>
        <v>0</v>
      </c>
      <c r="AT221" s="190"/>
      <c r="AU221" s="21">
        <f t="shared" si="135"/>
        <v>0</v>
      </c>
      <c r="AV221" s="16"/>
    </row>
    <row r="222" spans="1:48" ht="12.75">
      <c r="A222" s="6">
        <f t="shared" si="136"/>
        <v>27</v>
      </c>
      <c r="B222" s="3" t="s">
        <v>150</v>
      </c>
      <c r="C222" s="170">
        <v>2191.5</v>
      </c>
      <c r="D222" s="5">
        <f t="shared" si="137"/>
        <v>6.289999999999999</v>
      </c>
      <c r="E222" s="5"/>
      <c r="F222" s="7">
        <f t="shared" si="119"/>
        <v>1.7799999999999998</v>
      </c>
      <c r="G222" s="2">
        <v>0.62</v>
      </c>
      <c r="H222" s="2">
        <f t="shared" si="138"/>
        <v>16304.76</v>
      </c>
      <c r="I222" s="2">
        <v>0.8</v>
      </c>
      <c r="J222" s="2">
        <f t="shared" si="139"/>
        <v>21038.4</v>
      </c>
      <c r="K222" s="190"/>
      <c r="L222" s="2">
        <f t="shared" si="140"/>
        <v>0</v>
      </c>
      <c r="M222" s="190"/>
      <c r="N222" s="2">
        <f t="shared" si="141"/>
        <v>0</v>
      </c>
      <c r="O222" s="190"/>
      <c r="P222" s="2">
        <f t="shared" si="142"/>
        <v>0</v>
      </c>
      <c r="Q222" s="190"/>
      <c r="R222" s="2">
        <f t="shared" si="143"/>
        <v>0</v>
      </c>
      <c r="S222" s="2">
        <v>0.2</v>
      </c>
      <c r="T222" s="21">
        <f t="shared" si="144"/>
        <v>5259.6</v>
      </c>
      <c r="U222" s="2">
        <v>0.16</v>
      </c>
      <c r="V222" s="21">
        <f t="shared" si="145"/>
        <v>4207.68</v>
      </c>
      <c r="W222" s="6">
        <f t="shared" si="155"/>
        <v>27</v>
      </c>
      <c r="X222" s="3" t="s">
        <v>150</v>
      </c>
      <c r="Y222" s="170">
        <v>2191.5</v>
      </c>
      <c r="Z222" s="32">
        <f t="shared" si="146"/>
        <v>4.51</v>
      </c>
      <c r="AA222" s="2">
        <v>1.1</v>
      </c>
      <c r="AB222" s="21">
        <f t="shared" si="147"/>
        <v>28927.800000000003</v>
      </c>
      <c r="AC222" s="2">
        <v>1</v>
      </c>
      <c r="AD222" s="21">
        <f t="shared" si="148"/>
        <v>26298</v>
      </c>
      <c r="AE222" s="2">
        <v>1</v>
      </c>
      <c r="AF222" s="21">
        <f t="shared" si="154"/>
        <v>26298</v>
      </c>
      <c r="AG222" s="2">
        <v>1</v>
      </c>
      <c r="AH222" s="21">
        <f t="shared" si="149"/>
        <v>26298</v>
      </c>
      <c r="AI222" s="2">
        <v>0.41</v>
      </c>
      <c r="AJ222" s="21">
        <f t="shared" si="118"/>
        <v>10782.18</v>
      </c>
      <c r="AK222" s="32">
        <f t="shared" si="150"/>
        <v>0</v>
      </c>
      <c r="AL222" s="2"/>
      <c r="AM222" s="21">
        <f t="shared" si="151"/>
        <v>0</v>
      </c>
      <c r="AN222" s="190"/>
      <c r="AO222" s="21">
        <f t="shared" si="152"/>
        <v>0</v>
      </c>
      <c r="AP222" s="190"/>
      <c r="AQ222" s="21">
        <f t="shared" si="133"/>
        <v>0</v>
      </c>
      <c r="AR222" s="190"/>
      <c r="AS222" s="21">
        <f t="shared" si="153"/>
        <v>0</v>
      </c>
      <c r="AT222" s="190"/>
      <c r="AU222" s="21">
        <f t="shared" si="135"/>
        <v>0</v>
      </c>
      <c r="AV222" s="16"/>
    </row>
    <row r="223" spans="1:48" ht="12.75">
      <c r="A223" s="6">
        <f t="shared" si="136"/>
        <v>28</v>
      </c>
      <c r="B223" s="3" t="s">
        <v>151</v>
      </c>
      <c r="C223" s="43">
        <v>1996.8</v>
      </c>
      <c r="D223" s="5">
        <f t="shared" si="137"/>
        <v>6.25</v>
      </c>
      <c r="E223" s="5"/>
      <c r="F223" s="7">
        <f aca="true" t="shared" si="156" ref="F223:F243">G223+I223+K223+M223+O223+Q223+S223+U223</f>
        <v>1.7499999999999998</v>
      </c>
      <c r="G223" s="2">
        <v>0.6</v>
      </c>
      <c r="H223" s="2">
        <f t="shared" si="138"/>
        <v>14376.96</v>
      </c>
      <c r="I223" s="2">
        <v>0.8</v>
      </c>
      <c r="J223" s="2">
        <f t="shared" si="139"/>
        <v>19169.28</v>
      </c>
      <c r="K223" s="190"/>
      <c r="L223" s="2">
        <f t="shared" si="140"/>
        <v>0</v>
      </c>
      <c r="M223" s="190"/>
      <c r="N223" s="2">
        <f t="shared" si="141"/>
        <v>0</v>
      </c>
      <c r="O223" s="190"/>
      <c r="P223" s="2">
        <f t="shared" si="142"/>
        <v>0</v>
      </c>
      <c r="Q223" s="190"/>
      <c r="R223" s="2">
        <f t="shared" si="143"/>
        <v>0</v>
      </c>
      <c r="S223" s="2">
        <v>0.2</v>
      </c>
      <c r="T223" s="21">
        <f t="shared" si="144"/>
        <v>4792.32</v>
      </c>
      <c r="U223" s="2">
        <v>0.15</v>
      </c>
      <c r="V223" s="21">
        <f t="shared" si="145"/>
        <v>3594.24</v>
      </c>
      <c r="W223" s="6">
        <f t="shared" si="155"/>
        <v>28</v>
      </c>
      <c r="X223" s="3" t="s">
        <v>151</v>
      </c>
      <c r="Y223" s="43">
        <v>1996.8</v>
      </c>
      <c r="Z223" s="32">
        <f t="shared" si="146"/>
        <v>4.2</v>
      </c>
      <c r="AA223" s="2">
        <v>1.1</v>
      </c>
      <c r="AB223" s="21">
        <f t="shared" si="147"/>
        <v>26357.760000000002</v>
      </c>
      <c r="AC223" s="2">
        <v>0.9</v>
      </c>
      <c r="AD223" s="21">
        <f t="shared" si="148"/>
        <v>21565.44</v>
      </c>
      <c r="AE223" s="2">
        <v>0.9</v>
      </c>
      <c r="AF223" s="21">
        <f t="shared" si="154"/>
        <v>21565.44</v>
      </c>
      <c r="AG223" s="2">
        <v>0.9</v>
      </c>
      <c r="AH223" s="21">
        <f t="shared" si="149"/>
        <v>21565.44</v>
      </c>
      <c r="AI223" s="2">
        <v>0.4</v>
      </c>
      <c r="AJ223" s="21">
        <f t="shared" si="118"/>
        <v>9584.64</v>
      </c>
      <c r="AK223" s="32">
        <f t="shared" si="150"/>
        <v>0.3</v>
      </c>
      <c r="AL223" s="2">
        <v>0.3</v>
      </c>
      <c r="AM223" s="21">
        <f t="shared" si="151"/>
        <v>7188.48</v>
      </c>
      <c r="AN223" s="190"/>
      <c r="AO223" s="21">
        <f t="shared" si="152"/>
        <v>0</v>
      </c>
      <c r="AP223" s="190"/>
      <c r="AQ223" s="21">
        <f t="shared" si="133"/>
        <v>0</v>
      </c>
      <c r="AR223" s="190"/>
      <c r="AS223" s="21">
        <f t="shared" si="153"/>
        <v>0</v>
      </c>
      <c r="AT223" s="190"/>
      <c r="AU223" s="21">
        <f t="shared" si="135"/>
        <v>0</v>
      </c>
      <c r="AV223" s="16"/>
    </row>
    <row r="224" spans="1:48" ht="12.75">
      <c r="A224" s="6">
        <f t="shared" si="136"/>
        <v>29</v>
      </c>
      <c r="B224" s="3" t="s">
        <v>152</v>
      </c>
      <c r="C224" s="43">
        <v>3092.5</v>
      </c>
      <c r="D224" s="5">
        <f t="shared" si="137"/>
        <v>6.5200000000000005</v>
      </c>
      <c r="E224" s="5"/>
      <c r="F224" s="7">
        <f t="shared" si="156"/>
        <v>1.65</v>
      </c>
      <c r="G224" s="2">
        <v>0.8</v>
      </c>
      <c r="H224" s="2">
        <f t="shared" si="138"/>
        <v>29688</v>
      </c>
      <c r="I224" s="2">
        <v>0.5</v>
      </c>
      <c r="J224" s="2">
        <f t="shared" si="139"/>
        <v>18555</v>
      </c>
      <c r="K224" s="190"/>
      <c r="L224" s="2">
        <f t="shared" si="140"/>
        <v>0</v>
      </c>
      <c r="M224" s="190"/>
      <c r="N224" s="2">
        <f t="shared" si="141"/>
        <v>0</v>
      </c>
      <c r="O224" s="190"/>
      <c r="P224" s="2">
        <f t="shared" si="142"/>
        <v>0</v>
      </c>
      <c r="Q224" s="190"/>
      <c r="R224" s="2">
        <f t="shared" si="143"/>
        <v>0</v>
      </c>
      <c r="S224" s="2">
        <v>0.2</v>
      </c>
      <c r="T224" s="21">
        <f t="shared" si="144"/>
        <v>7422</v>
      </c>
      <c r="U224" s="2">
        <v>0.15</v>
      </c>
      <c r="V224" s="21">
        <f t="shared" si="145"/>
        <v>5566.5</v>
      </c>
      <c r="W224" s="6">
        <f t="shared" si="155"/>
        <v>29</v>
      </c>
      <c r="X224" s="3" t="s">
        <v>152</v>
      </c>
      <c r="Y224" s="43">
        <v>3092.5</v>
      </c>
      <c r="Z224" s="32">
        <f t="shared" si="146"/>
        <v>3.9200000000000004</v>
      </c>
      <c r="AA224" s="2">
        <v>1.2</v>
      </c>
      <c r="AB224" s="21">
        <f t="shared" si="147"/>
        <v>44532</v>
      </c>
      <c r="AC224" s="2">
        <v>1</v>
      </c>
      <c r="AD224" s="21">
        <f t="shared" si="148"/>
        <v>37110</v>
      </c>
      <c r="AE224" s="2">
        <v>0.75</v>
      </c>
      <c r="AF224" s="21">
        <f t="shared" si="154"/>
        <v>27832.5</v>
      </c>
      <c r="AG224" s="2">
        <v>0.6</v>
      </c>
      <c r="AH224" s="21">
        <f t="shared" si="149"/>
        <v>22266</v>
      </c>
      <c r="AI224" s="2">
        <v>0.37</v>
      </c>
      <c r="AJ224" s="21">
        <f t="shared" si="118"/>
        <v>13730.699999999999</v>
      </c>
      <c r="AK224" s="32">
        <f t="shared" si="150"/>
        <v>0.95</v>
      </c>
      <c r="AL224" s="2"/>
      <c r="AM224" s="21">
        <f t="shared" si="151"/>
        <v>0</v>
      </c>
      <c r="AN224" s="190"/>
      <c r="AO224" s="21">
        <f t="shared" si="152"/>
        <v>0</v>
      </c>
      <c r="AP224" s="190"/>
      <c r="AQ224" s="21">
        <f t="shared" si="133"/>
        <v>0</v>
      </c>
      <c r="AR224" s="190"/>
      <c r="AS224" s="21">
        <f t="shared" si="153"/>
        <v>0</v>
      </c>
      <c r="AT224" s="190">
        <v>0.95</v>
      </c>
      <c r="AU224" s="21">
        <f t="shared" si="135"/>
        <v>35254.5</v>
      </c>
      <c r="AV224" s="16"/>
    </row>
    <row r="225" spans="1:48" ht="12.75">
      <c r="A225" s="6">
        <f t="shared" si="136"/>
        <v>30</v>
      </c>
      <c r="B225" s="3" t="s">
        <v>153</v>
      </c>
      <c r="C225" s="43">
        <v>1993.3</v>
      </c>
      <c r="D225" s="5">
        <f t="shared" si="137"/>
        <v>5.739999999999999</v>
      </c>
      <c r="E225" s="5"/>
      <c r="F225" s="7">
        <f t="shared" si="156"/>
        <v>2.11</v>
      </c>
      <c r="G225" s="2">
        <v>0.5</v>
      </c>
      <c r="H225" s="2">
        <f t="shared" si="138"/>
        <v>11959.8</v>
      </c>
      <c r="I225" s="2">
        <v>1</v>
      </c>
      <c r="J225" s="2">
        <f t="shared" si="139"/>
        <v>23919.6</v>
      </c>
      <c r="K225" s="190"/>
      <c r="L225" s="2">
        <f t="shared" si="140"/>
        <v>0</v>
      </c>
      <c r="M225" s="190"/>
      <c r="N225" s="2">
        <f t="shared" si="141"/>
        <v>0</v>
      </c>
      <c r="O225" s="190"/>
      <c r="P225" s="2">
        <f t="shared" si="142"/>
        <v>0</v>
      </c>
      <c r="Q225" s="190"/>
      <c r="R225" s="2">
        <f t="shared" si="143"/>
        <v>0</v>
      </c>
      <c r="S225" s="2">
        <v>0.42</v>
      </c>
      <c r="T225" s="21">
        <f t="shared" si="144"/>
        <v>10046.232</v>
      </c>
      <c r="U225" s="2">
        <v>0.19</v>
      </c>
      <c r="V225" s="21">
        <f t="shared" si="145"/>
        <v>4544.724</v>
      </c>
      <c r="W225" s="6">
        <f t="shared" si="155"/>
        <v>30</v>
      </c>
      <c r="X225" s="3" t="s">
        <v>153</v>
      </c>
      <c r="Y225" s="43">
        <v>1993.3</v>
      </c>
      <c r="Z225" s="32">
        <f t="shared" si="146"/>
        <v>3.2099999999999995</v>
      </c>
      <c r="AA225" s="2">
        <v>1.2</v>
      </c>
      <c r="AB225" s="21">
        <f t="shared" si="147"/>
        <v>28703.52</v>
      </c>
      <c r="AC225" s="2">
        <v>0.6</v>
      </c>
      <c r="AD225" s="21">
        <f t="shared" si="148"/>
        <v>14351.76</v>
      </c>
      <c r="AE225" s="2">
        <v>0.4</v>
      </c>
      <c r="AF225" s="21">
        <f t="shared" si="154"/>
        <v>9567.84</v>
      </c>
      <c r="AG225" s="2">
        <v>0.7</v>
      </c>
      <c r="AH225" s="21">
        <f t="shared" si="149"/>
        <v>16743.72</v>
      </c>
      <c r="AI225" s="2">
        <v>0.31</v>
      </c>
      <c r="AJ225" s="21">
        <f t="shared" si="118"/>
        <v>7415.076</v>
      </c>
      <c r="AK225" s="32">
        <f t="shared" si="150"/>
        <v>0.42</v>
      </c>
      <c r="AL225" s="2">
        <v>0.42</v>
      </c>
      <c r="AM225" s="21">
        <f t="shared" si="151"/>
        <v>10046.232</v>
      </c>
      <c r="AN225" s="190"/>
      <c r="AO225" s="21">
        <f t="shared" si="152"/>
        <v>0</v>
      </c>
      <c r="AP225" s="190"/>
      <c r="AQ225" s="21">
        <f t="shared" si="133"/>
        <v>0</v>
      </c>
      <c r="AR225" s="190"/>
      <c r="AS225" s="21">
        <f t="shared" si="153"/>
        <v>0</v>
      </c>
      <c r="AT225" s="190"/>
      <c r="AU225" s="21">
        <f t="shared" si="135"/>
        <v>0</v>
      </c>
      <c r="AV225" s="16"/>
    </row>
    <row r="226" spans="1:48" ht="12.75">
      <c r="A226" s="6">
        <f t="shared" si="136"/>
        <v>31</v>
      </c>
      <c r="B226" s="3" t="s">
        <v>154</v>
      </c>
      <c r="C226" s="43">
        <v>5294.7</v>
      </c>
      <c r="D226" s="5">
        <f t="shared" si="137"/>
        <v>6</v>
      </c>
      <c r="E226" s="5"/>
      <c r="F226" s="7">
        <f t="shared" si="156"/>
        <v>2.5000000000000004</v>
      </c>
      <c r="G226" s="2">
        <v>0.5</v>
      </c>
      <c r="H226" s="2">
        <f t="shared" si="138"/>
        <v>31768.199999999997</v>
      </c>
      <c r="I226" s="2">
        <v>1.6</v>
      </c>
      <c r="J226" s="2">
        <f t="shared" si="139"/>
        <v>101658.24</v>
      </c>
      <c r="K226" s="190"/>
      <c r="L226" s="2">
        <f t="shared" si="140"/>
        <v>0</v>
      </c>
      <c r="M226" s="190"/>
      <c r="N226" s="2">
        <f t="shared" si="141"/>
        <v>0</v>
      </c>
      <c r="O226" s="190"/>
      <c r="P226" s="2">
        <f t="shared" si="142"/>
        <v>0</v>
      </c>
      <c r="Q226" s="190"/>
      <c r="R226" s="2">
        <f t="shared" si="143"/>
        <v>0</v>
      </c>
      <c r="S226" s="2">
        <v>0.2</v>
      </c>
      <c r="T226" s="21">
        <f t="shared" si="144"/>
        <v>12707.28</v>
      </c>
      <c r="U226" s="2">
        <v>0.2</v>
      </c>
      <c r="V226" s="21">
        <f t="shared" si="145"/>
        <v>12707.28</v>
      </c>
      <c r="W226" s="6">
        <f t="shared" si="155"/>
        <v>31</v>
      </c>
      <c r="X226" s="3" t="s">
        <v>154</v>
      </c>
      <c r="Y226" s="43">
        <v>5294.7</v>
      </c>
      <c r="Z226" s="32">
        <f t="shared" si="146"/>
        <v>3.5</v>
      </c>
      <c r="AA226" s="2">
        <v>0.8</v>
      </c>
      <c r="AB226" s="21">
        <f t="shared" si="147"/>
        <v>50829.12</v>
      </c>
      <c r="AC226" s="2">
        <v>0.8</v>
      </c>
      <c r="AD226" s="21">
        <f t="shared" si="148"/>
        <v>50829.12</v>
      </c>
      <c r="AE226" s="2">
        <v>0.8</v>
      </c>
      <c r="AF226" s="21">
        <f t="shared" si="154"/>
        <v>50829.12</v>
      </c>
      <c r="AG226" s="2">
        <v>0.8</v>
      </c>
      <c r="AH226" s="21">
        <f t="shared" si="149"/>
        <v>50829.12</v>
      </c>
      <c r="AI226" s="2">
        <v>0.3</v>
      </c>
      <c r="AJ226" s="21">
        <f t="shared" si="118"/>
        <v>19060.92</v>
      </c>
      <c r="AK226" s="32">
        <f t="shared" si="150"/>
        <v>0</v>
      </c>
      <c r="AL226" s="2"/>
      <c r="AM226" s="21">
        <f t="shared" si="151"/>
        <v>0</v>
      </c>
      <c r="AN226" s="190"/>
      <c r="AO226" s="21">
        <f t="shared" si="152"/>
        <v>0</v>
      </c>
      <c r="AP226" s="190"/>
      <c r="AQ226" s="21">
        <f t="shared" si="133"/>
        <v>0</v>
      </c>
      <c r="AR226" s="190"/>
      <c r="AS226" s="21">
        <f t="shared" si="153"/>
        <v>0</v>
      </c>
      <c r="AT226" s="190"/>
      <c r="AU226" s="21">
        <f t="shared" si="135"/>
        <v>0</v>
      </c>
      <c r="AV226" s="16"/>
    </row>
    <row r="227" spans="1:48" ht="12.75">
      <c r="A227" s="6">
        <f t="shared" si="136"/>
        <v>32</v>
      </c>
      <c r="B227" s="3" t="s">
        <v>188</v>
      </c>
      <c r="C227" s="12">
        <v>1675.2</v>
      </c>
      <c r="D227" s="5">
        <f t="shared" si="137"/>
        <v>6.4</v>
      </c>
      <c r="E227" s="5"/>
      <c r="F227" s="7">
        <f t="shared" si="156"/>
        <v>1.1</v>
      </c>
      <c r="G227" s="2">
        <v>0.7</v>
      </c>
      <c r="H227" s="2">
        <f t="shared" si="138"/>
        <v>14071.679999999998</v>
      </c>
      <c r="I227" s="2"/>
      <c r="J227" s="2">
        <f t="shared" si="139"/>
        <v>0</v>
      </c>
      <c r="K227" s="190"/>
      <c r="L227" s="2">
        <f t="shared" si="140"/>
        <v>0</v>
      </c>
      <c r="M227" s="190"/>
      <c r="N227" s="2">
        <f t="shared" si="141"/>
        <v>0</v>
      </c>
      <c r="O227" s="190"/>
      <c r="P227" s="2">
        <f t="shared" si="142"/>
        <v>0</v>
      </c>
      <c r="Q227" s="190"/>
      <c r="R227" s="2">
        <f t="shared" si="143"/>
        <v>0</v>
      </c>
      <c r="S227" s="2">
        <v>0.3</v>
      </c>
      <c r="T227" s="21">
        <f t="shared" si="144"/>
        <v>6030.72</v>
      </c>
      <c r="U227" s="2">
        <v>0.1</v>
      </c>
      <c r="V227" s="21">
        <f t="shared" si="145"/>
        <v>2010.2400000000002</v>
      </c>
      <c r="W227" s="6">
        <f t="shared" si="155"/>
        <v>32</v>
      </c>
      <c r="X227" s="3" t="s">
        <v>188</v>
      </c>
      <c r="Y227" s="12">
        <v>1675.2</v>
      </c>
      <c r="Z227" s="32">
        <f t="shared" si="146"/>
        <v>2.4200000000000004</v>
      </c>
      <c r="AA227" s="2">
        <v>0.7</v>
      </c>
      <c r="AB227" s="21">
        <f t="shared" si="147"/>
        <v>14071.679999999998</v>
      </c>
      <c r="AC227" s="2">
        <v>0.5</v>
      </c>
      <c r="AD227" s="21">
        <f t="shared" si="148"/>
        <v>10051.2</v>
      </c>
      <c r="AE227" s="2">
        <v>0.5</v>
      </c>
      <c r="AF227" s="21">
        <f t="shared" si="154"/>
        <v>10051.2</v>
      </c>
      <c r="AG227" s="2">
        <v>0.5</v>
      </c>
      <c r="AH227" s="21">
        <f t="shared" si="149"/>
        <v>10051.2</v>
      </c>
      <c r="AI227" s="2">
        <v>0.22</v>
      </c>
      <c r="AJ227" s="21">
        <f t="shared" si="118"/>
        <v>4422.528</v>
      </c>
      <c r="AK227" s="32">
        <f t="shared" si="150"/>
        <v>2.88</v>
      </c>
      <c r="AL227" s="2"/>
      <c r="AM227" s="21">
        <f t="shared" si="151"/>
        <v>0</v>
      </c>
      <c r="AN227" s="190">
        <v>2.88</v>
      </c>
      <c r="AO227" s="21">
        <f t="shared" si="152"/>
        <v>57894.912</v>
      </c>
      <c r="AP227" s="190"/>
      <c r="AQ227" s="21">
        <f t="shared" si="133"/>
        <v>0</v>
      </c>
      <c r="AR227" s="190"/>
      <c r="AS227" s="21">
        <f t="shared" si="153"/>
        <v>0</v>
      </c>
      <c r="AT227" s="190"/>
      <c r="AU227" s="21">
        <f t="shared" si="135"/>
        <v>0</v>
      </c>
      <c r="AV227" s="16"/>
    </row>
    <row r="228" spans="1:48" ht="12.75">
      <c r="A228" s="6">
        <f t="shared" si="136"/>
        <v>33</v>
      </c>
      <c r="B228" s="3" t="s">
        <v>225</v>
      </c>
      <c r="C228" s="12">
        <v>836.7</v>
      </c>
      <c r="D228" s="5">
        <f t="shared" si="137"/>
        <v>0</v>
      </c>
      <c r="E228" s="5"/>
      <c r="F228" s="7">
        <f t="shared" si="156"/>
        <v>0</v>
      </c>
      <c r="G228" s="2"/>
      <c r="H228" s="2">
        <f t="shared" si="138"/>
        <v>0</v>
      </c>
      <c r="I228" s="2"/>
      <c r="J228" s="2">
        <f t="shared" si="139"/>
        <v>0</v>
      </c>
      <c r="K228" s="190"/>
      <c r="L228" s="2">
        <f t="shared" si="140"/>
        <v>0</v>
      </c>
      <c r="M228" s="190"/>
      <c r="N228" s="2">
        <f t="shared" si="141"/>
        <v>0</v>
      </c>
      <c r="O228" s="190"/>
      <c r="P228" s="2">
        <f t="shared" si="142"/>
        <v>0</v>
      </c>
      <c r="Q228" s="190"/>
      <c r="R228" s="2">
        <f t="shared" si="143"/>
        <v>0</v>
      </c>
      <c r="S228" s="2"/>
      <c r="T228" s="21">
        <f t="shared" si="144"/>
        <v>0</v>
      </c>
      <c r="U228" s="2"/>
      <c r="V228" s="21">
        <f t="shared" si="145"/>
        <v>0</v>
      </c>
      <c r="W228" s="6">
        <f t="shared" si="155"/>
        <v>33</v>
      </c>
      <c r="X228" s="3" t="s">
        <v>225</v>
      </c>
      <c r="Y228" s="12">
        <v>836.7</v>
      </c>
      <c r="Z228" s="32">
        <f t="shared" si="146"/>
        <v>0</v>
      </c>
      <c r="AA228" s="2"/>
      <c r="AB228" s="21">
        <f t="shared" si="147"/>
        <v>0</v>
      </c>
      <c r="AC228" s="2"/>
      <c r="AD228" s="21">
        <f t="shared" si="148"/>
        <v>0</v>
      </c>
      <c r="AE228" s="2"/>
      <c r="AF228" s="21">
        <f t="shared" si="154"/>
        <v>0</v>
      </c>
      <c r="AG228" s="2"/>
      <c r="AH228" s="21">
        <f t="shared" si="149"/>
        <v>0</v>
      </c>
      <c r="AI228" s="2"/>
      <c r="AJ228" s="21">
        <f t="shared" si="118"/>
        <v>0</v>
      </c>
      <c r="AK228" s="32">
        <f t="shared" si="150"/>
        <v>0</v>
      </c>
      <c r="AL228" s="2"/>
      <c r="AM228" s="21">
        <f t="shared" si="151"/>
        <v>0</v>
      </c>
      <c r="AN228" s="190"/>
      <c r="AO228" s="21">
        <f t="shared" si="152"/>
        <v>0</v>
      </c>
      <c r="AP228" s="190"/>
      <c r="AQ228" s="21">
        <f t="shared" si="133"/>
        <v>0</v>
      </c>
      <c r="AR228" s="190"/>
      <c r="AS228" s="21">
        <f t="shared" si="153"/>
        <v>0</v>
      </c>
      <c r="AT228" s="190"/>
      <c r="AU228" s="21">
        <f t="shared" si="135"/>
        <v>0</v>
      </c>
      <c r="AV228" s="16"/>
    </row>
    <row r="229" spans="1:48" ht="12.75">
      <c r="A229" s="6">
        <f t="shared" si="136"/>
        <v>34</v>
      </c>
      <c r="B229" s="3" t="s">
        <v>237</v>
      </c>
      <c r="C229" s="12">
        <v>839.4</v>
      </c>
      <c r="D229" s="5">
        <f t="shared" si="137"/>
        <v>0</v>
      </c>
      <c r="E229" s="5"/>
      <c r="F229" s="7">
        <f t="shared" si="156"/>
        <v>0</v>
      </c>
      <c r="G229" s="2"/>
      <c r="H229" s="2">
        <f t="shared" si="138"/>
        <v>0</v>
      </c>
      <c r="I229" s="2"/>
      <c r="J229" s="2">
        <f t="shared" si="139"/>
        <v>0</v>
      </c>
      <c r="K229" s="190"/>
      <c r="L229" s="2">
        <f t="shared" si="140"/>
        <v>0</v>
      </c>
      <c r="M229" s="190"/>
      <c r="N229" s="2">
        <f t="shared" si="141"/>
        <v>0</v>
      </c>
      <c r="O229" s="190"/>
      <c r="P229" s="2">
        <f t="shared" si="142"/>
        <v>0</v>
      </c>
      <c r="Q229" s="190"/>
      <c r="R229" s="2">
        <f t="shared" si="143"/>
        <v>0</v>
      </c>
      <c r="S229" s="2"/>
      <c r="T229" s="21">
        <f t="shared" si="144"/>
        <v>0</v>
      </c>
      <c r="U229" s="2"/>
      <c r="V229" s="21">
        <f t="shared" si="145"/>
        <v>0</v>
      </c>
      <c r="W229" s="6">
        <f t="shared" si="155"/>
        <v>34</v>
      </c>
      <c r="X229" s="3" t="s">
        <v>237</v>
      </c>
      <c r="Y229" s="12">
        <v>839.4</v>
      </c>
      <c r="Z229" s="32">
        <f t="shared" si="146"/>
        <v>0</v>
      </c>
      <c r="AA229" s="2"/>
      <c r="AB229" s="21">
        <f t="shared" si="147"/>
        <v>0</v>
      </c>
      <c r="AC229" s="2"/>
      <c r="AD229" s="21">
        <f t="shared" si="148"/>
        <v>0</v>
      </c>
      <c r="AE229" s="2"/>
      <c r="AF229" s="21">
        <f t="shared" si="154"/>
        <v>0</v>
      </c>
      <c r="AG229" s="2"/>
      <c r="AH229" s="21">
        <f t="shared" si="149"/>
        <v>0</v>
      </c>
      <c r="AI229" s="2"/>
      <c r="AJ229" s="21">
        <f t="shared" si="118"/>
        <v>0</v>
      </c>
      <c r="AK229" s="32">
        <f t="shared" si="150"/>
        <v>0</v>
      </c>
      <c r="AL229" s="2"/>
      <c r="AM229" s="21">
        <f t="shared" si="151"/>
        <v>0</v>
      </c>
      <c r="AN229" s="190"/>
      <c r="AO229" s="21">
        <f t="shared" si="152"/>
        <v>0</v>
      </c>
      <c r="AP229" s="190"/>
      <c r="AQ229" s="21">
        <f t="shared" si="133"/>
        <v>0</v>
      </c>
      <c r="AR229" s="190"/>
      <c r="AS229" s="21">
        <f t="shared" si="153"/>
        <v>0</v>
      </c>
      <c r="AT229" s="190"/>
      <c r="AU229" s="21">
        <f t="shared" si="135"/>
        <v>0</v>
      </c>
      <c r="AV229" s="16"/>
    </row>
    <row r="230" spans="1:48" ht="12.75">
      <c r="A230" s="6">
        <f t="shared" si="136"/>
        <v>35</v>
      </c>
      <c r="B230" s="3" t="s">
        <v>189</v>
      </c>
      <c r="C230" s="43">
        <v>1650.9</v>
      </c>
      <c r="D230" s="5">
        <f t="shared" si="137"/>
        <v>6.390000000000001</v>
      </c>
      <c r="E230" s="5"/>
      <c r="F230" s="7">
        <f t="shared" si="156"/>
        <v>0.65</v>
      </c>
      <c r="G230" s="2">
        <v>0.2</v>
      </c>
      <c r="H230" s="2">
        <f t="shared" si="138"/>
        <v>3962.1600000000008</v>
      </c>
      <c r="I230" s="2"/>
      <c r="J230" s="2">
        <f t="shared" si="139"/>
        <v>0</v>
      </c>
      <c r="K230" s="190"/>
      <c r="L230" s="2">
        <f t="shared" si="140"/>
        <v>0</v>
      </c>
      <c r="M230" s="190"/>
      <c r="N230" s="2">
        <f t="shared" si="141"/>
        <v>0</v>
      </c>
      <c r="O230" s="190"/>
      <c r="P230" s="2">
        <f t="shared" si="142"/>
        <v>0</v>
      </c>
      <c r="Q230" s="190"/>
      <c r="R230" s="2">
        <f t="shared" si="143"/>
        <v>0</v>
      </c>
      <c r="S230" s="2">
        <v>0.2</v>
      </c>
      <c r="T230" s="21">
        <f t="shared" si="144"/>
        <v>3962.1600000000008</v>
      </c>
      <c r="U230" s="2">
        <v>0.25</v>
      </c>
      <c r="V230" s="21">
        <f t="shared" si="145"/>
        <v>4952.700000000001</v>
      </c>
      <c r="W230" s="6">
        <f t="shared" si="155"/>
        <v>35</v>
      </c>
      <c r="X230" s="3" t="s">
        <v>189</v>
      </c>
      <c r="Y230" s="43">
        <v>1650.9</v>
      </c>
      <c r="Z230" s="32">
        <f t="shared" si="146"/>
        <v>5.74</v>
      </c>
      <c r="AA230" s="2">
        <v>0.7</v>
      </c>
      <c r="AB230" s="21">
        <f t="shared" si="147"/>
        <v>13867.559999999998</v>
      </c>
      <c r="AC230" s="2">
        <v>2</v>
      </c>
      <c r="AD230" s="21">
        <f t="shared" si="148"/>
        <v>39621.600000000006</v>
      </c>
      <c r="AE230" s="2">
        <v>2</v>
      </c>
      <c r="AF230" s="21">
        <f t="shared" si="154"/>
        <v>39621.600000000006</v>
      </c>
      <c r="AG230" s="2">
        <v>0.5</v>
      </c>
      <c r="AH230" s="21">
        <f t="shared" si="149"/>
        <v>9905.400000000001</v>
      </c>
      <c r="AI230" s="2">
        <v>0.54</v>
      </c>
      <c r="AJ230" s="21">
        <f t="shared" si="118"/>
        <v>10697.832000000002</v>
      </c>
      <c r="AK230" s="32">
        <f t="shared" si="150"/>
        <v>0</v>
      </c>
      <c r="AL230" s="2"/>
      <c r="AM230" s="21">
        <f t="shared" si="151"/>
        <v>0</v>
      </c>
      <c r="AN230" s="190"/>
      <c r="AO230" s="21">
        <f t="shared" si="152"/>
        <v>0</v>
      </c>
      <c r="AP230" s="190"/>
      <c r="AQ230" s="21">
        <f t="shared" si="133"/>
        <v>0</v>
      </c>
      <c r="AR230" s="190"/>
      <c r="AS230" s="21">
        <f t="shared" si="153"/>
        <v>0</v>
      </c>
      <c r="AT230" s="190"/>
      <c r="AU230" s="21">
        <f t="shared" si="135"/>
        <v>0</v>
      </c>
      <c r="AV230" s="16"/>
    </row>
    <row r="231" spans="1:48" ht="12.75">
      <c r="A231" s="6">
        <f t="shared" si="136"/>
        <v>36</v>
      </c>
      <c r="B231" s="3" t="s">
        <v>155</v>
      </c>
      <c r="C231" s="43">
        <v>2524.9</v>
      </c>
      <c r="D231" s="5">
        <f t="shared" si="137"/>
        <v>6.2299999999999995</v>
      </c>
      <c r="E231" s="5"/>
      <c r="F231" s="7">
        <f t="shared" si="156"/>
        <v>2.9299999999999997</v>
      </c>
      <c r="G231" s="2">
        <v>1.5</v>
      </c>
      <c r="H231" s="2">
        <f t="shared" si="138"/>
        <v>45448.200000000004</v>
      </c>
      <c r="I231" s="2">
        <v>1</v>
      </c>
      <c r="J231" s="2">
        <f t="shared" si="139"/>
        <v>30298.800000000003</v>
      </c>
      <c r="K231" s="190"/>
      <c r="L231" s="2">
        <f t="shared" si="140"/>
        <v>0</v>
      </c>
      <c r="M231" s="190"/>
      <c r="N231" s="2">
        <f t="shared" si="141"/>
        <v>0</v>
      </c>
      <c r="O231" s="190"/>
      <c r="P231" s="2">
        <f t="shared" si="142"/>
        <v>0</v>
      </c>
      <c r="Q231" s="190"/>
      <c r="R231" s="2">
        <f t="shared" si="143"/>
        <v>0</v>
      </c>
      <c r="S231" s="2">
        <v>0.17</v>
      </c>
      <c r="T231" s="21">
        <f t="shared" si="144"/>
        <v>5150.796</v>
      </c>
      <c r="U231" s="2">
        <v>0.26</v>
      </c>
      <c r="V231" s="21">
        <f t="shared" si="145"/>
        <v>7877.688</v>
      </c>
      <c r="W231" s="6">
        <f t="shared" si="155"/>
        <v>36</v>
      </c>
      <c r="X231" s="3" t="s">
        <v>155</v>
      </c>
      <c r="Y231" s="43">
        <v>2524.9</v>
      </c>
      <c r="Z231" s="32">
        <f t="shared" si="146"/>
        <v>3.3</v>
      </c>
      <c r="AA231" s="2">
        <v>1.2</v>
      </c>
      <c r="AB231" s="21">
        <f t="shared" si="147"/>
        <v>36358.56</v>
      </c>
      <c r="AC231" s="2">
        <v>0.6</v>
      </c>
      <c r="AD231" s="21">
        <f t="shared" si="148"/>
        <v>18179.28</v>
      </c>
      <c r="AE231" s="2">
        <v>0.6</v>
      </c>
      <c r="AF231" s="21">
        <f t="shared" si="154"/>
        <v>18179.28</v>
      </c>
      <c r="AG231" s="2">
        <v>0.6</v>
      </c>
      <c r="AH231" s="21">
        <f t="shared" si="149"/>
        <v>18179.28</v>
      </c>
      <c r="AI231" s="2">
        <v>0.3</v>
      </c>
      <c r="AJ231" s="21">
        <f t="shared" si="118"/>
        <v>9089.64</v>
      </c>
      <c r="AK231" s="32">
        <f t="shared" si="150"/>
        <v>0</v>
      </c>
      <c r="AL231" s="2"/>
      <c r="AM231" s="21">
        <f t="shared" si="151"/>
        <v>0</v>
      </c>
      <c r="AN231" s="190"/>
      <c r="AO231" s="21">
        <f t="shared" si="152"/>
        <v>0</v>
      </c>
      <c r="AP231" s="190"/>
      <c r="AQ231" s="21">
        <f t="shared" si="133"/>
        <v>0</v>
      </c>
      <c r="AR231" s="190"/>
      <c r="AS231" s="21">
        <f t="shared" si="153"/>
        <v>0</v>
      </c>
      <c r="AT231" s="190"/>
      <c r="AU231" s="21">
        <f t="shared" si="135"/>
        <v>0</v>
      </c>
      <c r="AV231" s="16"/>
    </row>
    <row r="232" spans="1:48" ht="12.75">
      <c r="A232" s="6">
        <f t="shared" si="136"/>
        <v>37</v>
      </c>
      <c r="B232" s="3" t="s">
        <v>156</v>
      </c>
      <c r="C232" s="43">
        <v>3143.5</v>
      </c>
      <c r="D232" s="5">
        <f t="shared" si="137"/>
        <v>6.43</v>
      </c>
      <c r="E232" s="5"/>
      <c r="F232" s="7">
        <f t="shared" si="156"/>
        <v>2.71</v>
      </c>
      <c r="G232" s="2">
        <v>1.3</v>
      </c>
      <c r="H232" s="2">
        <f t="shared" si="138"/>
        <v>49038.600000000006</v>
      </c>
      <c r="I232" s="2">
        <v>1</v>
      </c>
      <c r="J232" s="2">
        <f t="shared" si="139"/>
        <v>37722</v>
      </c>
      <c r="K232" s="190"/>
      <c r="L232" s="2">
        <f t="shared" si="140"/>
        <v>0</v>
      </c>
      <c r="M232" s="190"/>
      <c r="N232" s="2">
        <f t="shared" si="141"/>
        <v>0</v>
      </c>
      <c r="O232" s="190"/>
      <c r="P232" s="2">
        <f t="shared" si="142"/>
        <v>0</v>
      </c>
      <c r="Q232" s="190"/>
      <c r="R232" s="2">
        <f t="shared" si="143"/>
        <v>0</v>
      </c>
      <c r="S232" s="2">
        <v>0.17</v>
      </c>
      <c r="T232" s="21">
        <f t="shared" si="144"/>
        <v>6412.74</v>
      </c>
      <c r="U232" s="2">
        <v>0.24</v>
      </c>
      <c r="V232" s="21">
        <f t="shared" si="145"/>
        <v>9053.279999999999</v>
      </c>
      <c r="W232" s="6">
        <f t="shared" si="155"/>
        <v>37</v>
      </c>
      <c r="X232" s="3" t="s">
        <v>156</v>
      </c>
      <c r="Y232" s="43">
        <v>3143.5</v>
      </c>
      <c r="Z232" s="32">
        <f t="shared" si="146"/>
        <v>2.79</v>
      </c>
      <c r="AA232" s="2">
        <v>1.1</v>
      </c>
      <c r="AB232" s="21">
        <f t="shared" si="147"/>
        <v>41494.200000000004</v>
      </c>
      <c r="AC232" s="2">
        <v>0.6</v>
      </c>
      <c r="AD232" s="21">
        <f t="shared" si="148"/>
        <v>22633.199999999997</v>
      </c>
      <c r="AE232" s="2">
        <v>0.4</v>
      </c>
      <c r="AF232" s="21">
        <f t="shared" si="154"/>
        <v>15088.800000000001</v>
      </c>
      <c r="AG232" s="2">
        <v>0.4</v>
      </c>
      <c r="AH232" s="21">
        <f t="shared" si="149"/>
        <v>15088.800000000001</v>
      </c>
      <c r="AI232" s="2">
        <v>0.29</v>
      </c>
      <c r="AJ232" s="21">
        <f t="shared" si="118"/>
        <v>10939.38</v>
      </c>
      <c r="AK232" s="32">
        <f t="shared" si="150"/>
        <v>0.93</v>
      </c>
      <c r="AL232" s="2"/>
      <c r="AM232" s="21">
        <f t="shared" si="151"/>
        <v>0</v>
      </c>
      <c r="AN232" s="190"/>
      <c r="AO232" s="21">
        <f t="shared" si="152"/>
        <v>0</v>
      </c>
      <c r="AP232" s="190"/>
      <c r="AQ232" s="21">
        <f t="shared" si="133"/>
        <v>0</v>
      </c>
      <c r="AR232" s="190"/>
      <c r="AS232" s="21">
        <f t="shared" si="153"/>
        <v>0</v>
      </c>
      <c r="AT232" s="190">
        <v>0.93</v>
      </c>
      <c r="AU232" s="21">
        <f t="shared" si="135"/>
        <v>35081.46</v>
      </c>
      <c r="AV232" s="16"/>
    </row>
    <row r="233" spans="1:48" ht="12.75">
      <c r="A233" s="6">
        <f t="shared" si="136"/>
        <v>38</v>
      </c>
      <c r="B233" s="3" t="s">
        <v>157</v>
      </c>
      <c r="C233" s="43">
        <v>2051.6</v>
      </c>
      <c r="D233" s="5">
        <f t="shared" si="137"/>
        <v>6.26</v>
      </c>
      <c r="E233" s="5"/>
      <c r="F233" s="7">
        <f t="shared" si="156"/>
        <v>2.31</v>
      </c>
      <c r="G233" s="2">
        <v>1.5</v>
      </c>
      <c r="H233" s="2">
        <f t="shared" si="138"/>
        <v>36928.799999999996</v>
      </c>
      <c r="I233" s="2">
        <v>0.5</v>
      </c>
      <c r="J233" s="2">
        <f t="shared" si="139"/>
        <v>12309.599999999999</v>
      </c>
      <c r="K233" s="190"/>
      <c r="L233" s="2">
        <f t="shared" si="140"/>
        <v>0</v>
      </c>
      <c r="M233" s="190"/>
      <c r="N233" s="2">
        <f t="shared" si="141"/>
        <v>0</v>
      </c>
      <c r="O233" s="190"/>
      <c r="P233" s="2">
        <f t="shared" si="142"/>
        <v>0</v>
      </c>
      <c r="Q233" s="190"/>
      <c r="R233" s="2">
        <f t="shared" si="143"/>
        <v>0</v>
      </c>
      <c r="S233" s="2">
        <v>0.1</v>
      </c>
      <c r="T233" s="21">
        <f t="shared" si="144"/>
        <v>2461.92</v>
      </c>
      <c r="U233" s="2">
        <v>0.21</v>
      </c>
      <c r="V233" s="21">
        <f t="shared" si="145"/>
        <v>5170.031999999999</v>
      </c>
      <c r="W233" s="6">
        <f t="shared" si="155"/>
        <v>38</v>
      </c>
      <c r="X233" s="3" t="s">
        <v>157</v>
      </c>
      <c r="Y233" s="43">
        <v>2051.6</v>
      </c>
      <c r="Z233" s="32">
        <f t="shared" si="146"/>
        <v>3.9499999999999997</v>
      </c>
      <c r="AA233" s="2">
        <v>1.2</v>
      </c>
      <c r="AB233" s="21">
        <f t="shared" si="147"/>
        <v>29543.039999999994</v>
      </c>
      <c r="AC233" s="2">
        <v>0.8</v>
      </c>
      <c r="AD233" s="21">
        <f t="shared" si="148"/>
        <v>19695.36</v>
      </c>
      <c r="AE233" s="2">
        <v>0.8</v>
      </c>
      <c r="AF233" s="21">
        <f t="shared" si="154"/>
        <v>19695.36</v>
      </c>
      <c r="AG233" s="2">
        <v>0.8</v>
      </c>
      <c r="AH233" s="21">
        <f t="shared" si="149"/>
        <v>19695.36</v>
      </c>
      <c r="AI233" s="2">
        <v>0.35</v>
      </c>
      <c r="AJ233" s="21">
        <f t="shared" si="118"/>
        <v>8616.72</v>
      </c>
      <c r="AK233" s="32">
        <f t="shared" si="150"/>
        <v>0</v>
      </c>
      <c r="AL233" s="2"/>
      <c r="AM233" s="21">
        <f t="shared" si="151"/>
        <v>0</v>
      </c>
      <c r="AN233" s="190"/>
      <c r="AO233" s="21">
        <f t="shared" si="152"/>
        <v>0</v>
      </c>
      <c r="AP233" s="190"/>
      <c r="AQ233" s="21">
        <f t="shared" si="133"/>
        <v>0</v>
      </c>
      <c r="AR233" s="190"/>
      <c r="AS233" s="21">
        <f t="shared" si="153"/>
        <v>0</v>
      </c>
      <c r="AT233" s="190"/>
      <c r="AU233" s="21">
        <f t="shared" si="135"/>
        <v>0</v>
      </c>
      <c r="AV233" s="16"/>
    </row>
    <row r="234" spans="1:48" ht="12.75">
      <c r="A234" s="6">
        <f t="shared" si="136"/>
        <v>39</v>
      </c>
      <c r="B234" s="3" t="s">
        <v>158</v>
      </c>
      <c r="C234" s="43">
        <v>2622.4</v>
      </c>
      <c r="D234" s="5">
        <f t="shared" si="137"/>
        <v>6.66</v>
      </c>
      <c r="E234" s="5"/>
      <c r="F234" s="7">
        <f t="shared" si="156"/>
        <v>2.96</v>
      </c>
      <c r="G234" s="2">
        <v>1.5</v>
      </c>
      <c r="H234" s="2">
        <f t="shared" si="138"/>
        <v>47203.200000000004</v>
      </c>
      <c r="I234" s="2">
        <v>1</v>
      </c>
      <c r="J234" s="2">
        <f t="shared" si="139"/>
        <v>31468.800000000003</v>
      </c>
      <c r="K234" s="190"/>
      <c r="L234" s="2">
        <f t="shared" si="140"/>
        <v>0</v>
      </c>
      <c r="M234" s="190"/>
      <c r="N234" s="2">
        <f t="shared" si="141"/>
        <v>0</v>
      </c>
      <c r="O234" s="190"/>
      <c r="P234" s="2">
        <f t="shared" si="142"/>
        <v>0</v>
      </c>
      <c r="Q234" s="190"/>
      <c r="R234" s="2">
        <f t="shared" si="143"/>
        <v>0</v>
      </c>
      <c r="S234" s="2">
        <v>0.2</v>
      </c>
      <c r="T234" s="21">
        <f t="shared" si="144"/>
        <v>6293.76</v>
      </c>
      <c r="U234" s="2">
        <v>0.26</v>
      </c>
      <c r="V234" s="21">
        <f t="shared" si="145"/>
        <v>8181.888000000001</v>
      </c>
      <c r="W234" s="6">
        <f t="shared" si="155"/>
        <v>39</v>
      </c>
      <c r="X234" s="3" t="s">
        <v>158</v>
      </c>
      <c r="Y234" s="43">
        <v>2622.4</v>
      </c>
      <c r="Z234" s="32">
        <f t="shared" si="146"/>
        <v>3.6999999999999997</v>
      </c>
      <c r="AA234" s="2">
        <v>1.2</v>
      </c>
      <c r="AB234" s="21">
        <f t="shared" si="147"/>
        <v>37762.56</v>
      </c>
      <c r="AC234" s="2">
        <v>0.8</v>
      </c>
      <c r="AD234" s="21">
        <f t="shared" si="148"/>
        <v>25175.04</v>
      </c>
      <c r="AE234" s="2">
        <v>0.8</v>
      </c>
      <c r="AF234" s="21">
        <f t="shared" si="154"/>
        <v>25175.04</v>
      </c>
      <c r="AG234" s="2">
        <v>0.6</v>
      </c>
      <c r="AH234" s="21">
        <f t="shared" si="149"/>
        <v>18881.28</v>
      </c>
      <c r="AI234" s="2">
        <v>0.3</v>
      </c>
      <c r="AJ234" s="21">
        <f t="shared" si="118"/>
        <v>9440.64</v>
      </c>
      <c r="AK234" s="32">
        <f t="shared" si="150"/>
        <v>0</v>
      </c>
      <c r="AL234" s="2"/>
      <c r="AM234" s="21">
        <f t="shared" si="151"/>
        <v>0</v>
      </c>
      <c r="AN234" s="190"/>
      <c r="AO234" s="21">
        <f t="shared" si="152"/>
        <v>0</v>
      </c>
      <c r="AP234" s="190"/>
      <c r="AQ234" s="21">
        <f t="shared" si="133"/>
        <v>0</v>
      </c>
      <c r="AR234" s="190"/>
      <c r="AS234" s="21">
        <f t="shared" si="153"/>
        <v>0</v>
      </c>
      <c r="AT234" s="190"/>
      <c r="AU234" s="21">
        <f t="shared" si="135"/>
        <v>0</v>
      </c>
      <c r="AV234" s="16"/>
    </row>
    <row r="235" spans="1:48" ht="12.75">
      <c r="A235" s="6">
        <f t="shared" si="136"/>
        <v>40</v>
      </c>
      <c r="B235" s="3" t="s">
        <v>159</v>
      </c>
      <c r="C235" s="43">
        <v>2226.8</v>
      </c>
      <c r="D235" s="5">
        <f t="shared" si="137"/>
        <v>6.16</v>
      </c>
      <c r="E235" s="5"/>
      <c r="F235" s="7">
        <f t="shared" si="156"/>
        <v>2.19</v>
      </c>
      <c r="G235" s="2">
        <v>1.3</v>
      </c>
      <c r="H235" s="2">
        <f t="shared" si="138"/>
        <v>34738.08</v>
      </c>
      <c r="I235" s="2">
        <v>0.5</v>
      </c>
      <c r="J235" s="2">
        <f t="shared" si="139"/>
        <v>13360.800000000001</v>
      </c>
      <c r="K235" s="190"/>
      <c r="L235" s="2">
        <f t="shared" si="140"/>
        <v>0</v>
      </c>
      <c r="M235" s="190"/>
      <c r="N235" s="2">
        <f t="shared" si="141"/>
        <v>0</v>
      </c>
      <c r="O235" s="190"/>
      <c r="P235" s="2">
        <f t="shared" si="142"/>
        <v>0</v>
      </c>
      <c r="Q235" s="190"/>
      <c r="R235" s="2">
        <f t="shared" si="143"/>
        <v>0</v>
      </c>
      <c r="S235" s="2">
        <v>0.2</v>
      </c>
      <c r="T235" s="21">
        <f t="shared" si="144"/>
        <v>5344.320000000001</v>
      </c>
      <c r="U235" s="2">
        <v>0.19</v>
      </c>
      <c r="V235" s="21">
        <f t="shared" si="145"/>
        <v>5077.104</v>
      </c>
      <c r="W235" s="6">
        <f t="shared" si="155"/>
        <v>40</v>
      </c>
      <c r="X235" s="3" t="s">
        <v>159</v>
      </c>
      <c r="Y235" s="43">
        <v>2226.8</v>
      </c>
      <c r="Z235" s="32">
        <f t="shared" si="146"/>
        <v>3.9699999999999998</v>
      </c>
      <c r="AA235" s="2">
        <v>1.2</v>
      </c>
      <c r="AB235" s="21">
        <f t="shared" si="147"/>
        <v>32065.920000000006</v>
      </c>
      <c r="AC235" s="2">
        <v>0.8</v>
      </c>
      <c r="AD235" s="21">
        <f t="shared" si="148"/>
        <v>21377.280000000002</v>
      </c>
      <c r="AE235" s="2">
        <v>0.8</v>
      </c>
      <c r="AF235" s="21">
        <f t="shared" si="154"/>
        <v>21377.280000000002</v>
      </c>
      <c r="AG235" s="2">
        <v>0.8</v>
      </c>
      <c r="AH235" s="21">
        <f t="shared" si="149"/>
        <v>21377.280000000002</v>
      </c>
      <c r="AI235" s="2">
        <v>0.37</v>
      </c>
      <c r="AJ235" s="21">
        <f t="shared" si="118"/>
        <v>9886.992</v>
      </c>
      <c r="AK235" s="32">
        <f t="shared" si="150"/>
        <v>0</v>
      </c>
      <c r="AL235" s="2"/>
      <c r="AM235" s="21">
        <f t="shared" si="151"/>
        <v>0</v>
      </c>
      <c r="AN235" s="190"/>
      <c r="AO235" s="21">
        <f t="shared" si="152"/>
        <v>0</v>
      </c>
      <c r="AP235" s="190"/>
      <c r="AQ235" s="21">
        <f t="shared" si="133"/>
        <v>0</v>
      </c>
      <c r="AR235" s="190"/>
      <c r="AS235" s="21">
        <f t="shared" si="153"/>
        <v>0</v>
      </c>
      <c r="AT235" s="190"/>
      <c r="AU235" s="21">
        <f t="shared" si="135"/>
        <v>0</v>
      </c>
      <c r="AV235" s="16"/>
    </row>
    <row r="236" spans="1:48" ht="12.75">
      <c r="A236" s="6">
        <f t="shared" si="136"/>
        <v>41</v>
      </c>
      <c r="B236" s="3" t="s">
        <v>160</v>
      </c>
      <c r="C236" s="43">
        <v>2007.8</v>
      </c>
      <c r="D236" s="5">
        <f t="shared" si="137"/>
        <v>6.1</v>
      </c>
      <c r="E236" s="5"/>
      <c r="F236" s="7">
        <f t="shared" si="156"/>
        <v>2.8</v>
      </c>
      <c r="G236" s="2">
        <v>1.3</v>
      </c>
      <c r="H236" s="2">
        <f t="shared" si="138"/>
        <v>31321.68</v>
      </c>
      <c r="I236" s="2">
        <v>1</v>
      </c>
      <c r="J236" s="2">
        <f t="shared" si="139"/>
        <v>24093.6</v>
      </c>
      <c r="K236" s="190"/>
      <c r="L236" s="2">
        <f t="shared" si="140"/>
        <v>0</v>
      </c>
      <c r="M236" s="190"/>
      <c r="N236" s="2">
        <f t="shared" si="141"/>
        <v>0</v>
      </c>
      <c r="O236" s="190"/>
      <c r="P236" s="2">
        <f t="shared" si="142"/>
        <v>0</v>
      </c>
      <c r="Q236" s="190"/>
      <c r="R236" s="2">
        <f t="shared" si="143"/>
        <v>0</v>
      </c>
      <c r="S236" s="2">
        <v>0.25</v>
      </c>
      <c r="T236" s="21">
        <f t="shared" si="144"/>
        <v>6023.4</v>
      </c>
      <c r="U236" s="2">
        <v>0.25</v>
      </c>
      <c r="V236" s="21">
        <f t="shared" si="145"/>
        <v>6023.4</v>
      </c>
      <c r="W236" s="6">
        <f t="shared" si="155"/>
        <v>41</v>
      </c>
      <c r="X236" s="3" t="s">
        <v>160</v>
      </c>
      <c r="Y236" s="43">
        <v>2007.8</v>
      </c>
      <c r="Z236" s="32">
        <f t="shared" si="146"/>
        <v>3.3</v>
      </c>
      <c r="AA236" s="2">
        <v>1.1</v>
      </c>
      <c r="AB236" s="21">
        <f t="shared" si="147"/>
        <v>26502.96</v>
      </c>
      <c r="AC236" s="2">
        <v>0.7</v>
      </c>
      <c r="AD236" s="21">
        <f t="shared" si="148"/>
        <v>16865.519999999997</v>
      </c>
      <c r="AE236" s="2">
        <v>0.6</v>
      </c>
      <c r="AF236" s="21">
        <f t="shared" si="154"/>
        <v>14456.159999999998</v>
      </c>
      <c r="AG236" s="2">
        <v>0.6</v>
      </c>
      <c r="AH236" s="21">
        <f t="shared" si="149"/>
        <v>14456.159999999998</v>
      </c>
      <c r="AI236" s="2">
        <v>0.3</v>
      </c>
      <c r="AJ236" s="21">
        <f t="shared" si="118"/>
        <v>7228.079999999999</v>
      </c>
      <c r="AK236" s="32">
        <f t="shared" si="150"/>
        <v>0</v>
      </c>
      <c r="AL236" s="2"/>
      <c r="AM236" s="21">
        <f t="shared" si="151"/>
        <v>0</v>
      </c>
      <c r="AN236" s="190"/>
      <c r="AO236" s="21">
        <f t="shared" si="152"/>
        <v>0</v>
      </c>
      <c r="AP236" s="190"/>
      <c r="AQ236" s="21">
        <f t="shared" si="133"/>
        <v>0</v>
      </c>
      <c r="AR236" s="190"/>
      <c r="AS236" s="21">
        <f t="shared" si="153"/>
        <v>0</v>
      </c>
      <c r="AT236" s="190"/>
      <c r="AU236" s="21">
        <f t="shared" si="135"/>
        <v>0</v>
      </c>
      <c r="AV236" s="16"/>
    </row>
    <row r="237" spans="1:48" ht="12.75">
      <c r="A237" s="6">
        <f t="shared" si="136"/>
        <v>42</v>
      </c>
      <c r="B237" s="3" t="s">
        <v>161</v>
      </c>
      <c r="C237" s="43">
        <v>3183.3</v>
      </c>
      <c r="D237" s="5">
        <f t="shared" si="137"/>
        <v>6.26</v>
      </c>
      <c r="E237" s="5"/>
      <c r="F237" s="7">
        <f t="shared" si="156"/>
        <v>2.4200000000000004</v>
      </c>
      <c r="G237" s="2">
        <v>1.5</v>
      </c>
      <c r="H237" s="2">
        <f t="shared" si="138"/>
        <v>57299.40000000001</v>
      </c>
      <c r="I237" s="2">
        <v>0.5</v>
      </c>
      <c r="J237" s="2">
        <f t="shared" si="139"/>
        <v>19099.800000000003</v>
      </c>
      <c r="K237" s="190"/>
      <c r="L237" s="2">
        <f t="shared" si="140"/>
        <v>0</v>
      </c>
      <c r="M237" s="190"/>
      <c r="N237" s="2">
        <f t="shared" si="141"/>
        <v>0</v>
      </c>
      <c r="O237" s="190"/>
      <c r="P237" s="2">
        <f t="shared" si="142"/>
        <v>0</v>
      </c>
      <c r="Q237" s="190"/>
      <c r="R237" s="2">
        <f t="shared" si="143"/>
        <v>0</v>
      </c>
      <c r="S237" s="2">
        <v>0.2</v>
      </c>
      <c r="T237" s="21">
        <f t="shared" si="144"/>
        <v>7639.920000000001</v>
      </c>
      <c r="U237" s="2">
        <v>0.22</v>
      </c>
      <c r="V237" s="21">
        <f t="shared" si="145"/>
        <v>8403.912</v>
      </c>
      <c r="W237" s="6">
        <f t="shared" si="155"/>
        <v>42</v>
      </c>
      <c r="X237" s="3" t="s">
        <v>161</v>
      </c>
      <c r="Y237" s="43">
        <v>3183.3</v>
      </c>
      <c r="Z237" s="32">
        <f t="shared" si="146"/>
        <v>3.84</v>
      </c>
      <c r="AA237" s="2">
        <v>1.2</v>
      </c>
      <c r="AB237" s="21">
        <f t="shared" si="147"/>
        <v>45839.520000000004</v>
      </c>
      <c r="AC237" s="2">
        <v>0.8</v>
      </c>
      <c r="AD237" s="21">
        <f t="shared" si="148"/>
        <v>30559.680000000004</v>
      </c>
      <c r="AE237" s="2">
        <v>0.8</v>
      </c>
      <c r="AF237" s="21">
        <f>AE237*C237*12</f>
        <v>30559.680000000004</v>
      </c>
      <c r="AG237" s="2">
        <v>0.8</v>
      </c>
      <c r="AH237" s="21">
        <f t="shared" si="149"/>
        <v>30559.680000000004</v>
      </c>
      <c r="AI237" s="2">
        <v>0.24</v>
      </c>
      <c r="AJ237" s="21">
        <f t="shared" si="118"/>
        <v>9167.903999999999</v>
      </c>
      <c r="AK237" s="32">
        <f t="shared" si="150"/>
        <v>0</v>
      </c>
      <c r="AL237" s="2"/>
      <c r="AM237" s="21">
        <f t="shared" si="151"/>
        <v>0</v>
      </c>
      <c r="AN237" s="190"/>
      <c r="AO237" s="21">
        <f t="shared" si="152"/>
        <v>0</v>
      </c>
      <c r="AP237" s="190"/>
      <c r="AQ237" s="21">
        <f t="shared" si="133"/>
        <v>0</v>
      </c>
      <c r="AR237" s="190"/>
      <c r="AS237" s="21">
        <f t="shared" si="153"/>
        <v>0</v>
      </c>
      <c r="AT237" s="190"/>
      <c r="AU237" s="21">
        <f t="shared" si="135"/>
        <v>0</v>
      </c>
      <c r="AV237" s="16"/>
    </row>
    <row r="238" spans="1:48" ht="12.75">
      <c r="A238" s="6">
        <f t="shared" si="136"/>
        <v>43</v>
      </c>
      <c r="B238" s="3" t="s">
        <v>162</v>
      </c>
      <c r="C238" s="12">
        <v>2064.7</v>
      </c>
      <c r="D238" s="5">
        <f t="shared" si="137"/>
        <v>6.120000000000001</v>
      </c>
      <c r="E238" s="5"/>
      <c r="F238" s="7">
        <f t="shared" si="156"/>
        <v>2.41</v>
      </c>
      <c r="G238" s="2">
        <v>1.5</v>
      </c>
      <c r="H238" s="2">
        <f t="shared" si="138"/>
        <v>37164.6</v>
      </c>
      <c r="I238" s="2">
        <v>0.6</v>
      </c>
      <c r="J238" s="2">
        <f t="shared" si="139"/>
        <v>14865.84</v>
      </c>
      <c r="K238" s="190"/>
      <c r="L238" s="2">
        <f t="shared" si="140"/>
        <v>0</v>
      </c>
      <c r="M238" s="190"/>
      <c r="N238" s="2">
        <f t="shared" si="141"/>
        <v>0</v>
      </c>
      <c r="O238" s="190"/>
      <c r="P238" s="2">
        <f t="shared" si="142"/>
        <v>0</v>
      </c>
      <c r="Q238" s="190"/>
      <c r="R238" s="2">
        <f t="shared" si="143"/>
        <v>0</v>
      </c>
      <c r="S238" s="2">
        <v>0.2</v>
      </c>
      <c r="T238" s="21">
        <f t="shared" si="144"/>
        <v>4955.28</v>
      </c>
      <c r="U238" s="2">
        <v>0.11</v>
      </c>
      <c r="V238" s="21">
        <f t="shared" si="145"/>
        <v>2725.404</v>
      </c>
      <c r="W238" s="6">
        <f t="shared" si="155"/>
        <v>43</v>
      </c>
      <c r="X238" s="3" t="s">
        <v>162</v>
      </c>
      <c r="Y238" s="12">
        <v>2064.7</v>
      </c>
      <c r="Z238" s="32">
        <f t="shared" si="146"/>
        <v>3.7100000000000004</v>
      </c>
      <c r="AA238" s="2">
        <v>1.2</v>
      </c>
      <c r="AB238" s="21">
        <f t="shared" si="147"/>
        <v>29731.68</v>
      </c>
      <c r="AC238" s="2">
        <v>0.8</v>
      </c>
      <c r="AD238" s="21">
        <f t="shared" si="148"/>
        <v>19821.12</v>
      </c>
      <c r="AE238" s="2">
        <v>0.7</v>
      </c>
      <c r="AF238" s="21">
        <f t="shared" si="154"/>
        <v>17343.479999999996</v>
      </c>
      <c r="AG238" s="2">
        <v>0.7</v>
      </c>
      <c r="AH238" s="21">
        <f t="shared" si="149"/>
        <v>17343.479999999996</v>
      </c>
      <c r="AI238" s="2">
        <v>0.31</v>
      </c>
      <c r="AJ238" s="21">
        <f t="shared" si="118"/>
        <v>7680.683999999999</v>
      </c>
      <c r="AK238" s="32">
        <f t="shared" si="150"/>
        <v>0</v>
      </c>
      <c r="AL238" s="2"/>
      <c r="AM238" s="21">
        <f t="shared" si="151"/>
        <v>0</v>
      </c>
      <c r="AN238" s="190"/>
      <c r="AO238" s="21">
        <f t="shared" si="152"/>
        <v>0</v>
      </c>
      <c r="AP238" s="190"/>
      <c r="AQ238" s="21">
        <f t="shared" si="133"/>
        <v>0</v>
      </c>
      <c r="AR238" s="190"/>
      <c r="AS238" s="21">
        <f t="shared" si="153"/>
        <v>0</v>
      </c>
      <c r="AT238" s="190"/>
      <c r="AU238" s="21">
        <f t="shared" si="135"/>
        <v>0</v>
      </c>
      <c r="AV238" s="16"/>
    </row>
    <row r="239" spans="1:48" ht="12.75">
      <c r="A239" s="6">
        <f t="shared" si="136"/>
        <v>44</v>
      </c>
      <c r="B239" s="3" t="s">
        <v>163</v>
      </c>
      <c r="C239" s="43">
        <v>4980</v>
      </c>
      <c r="D239" s="5">
        <f t="shared" si="137"/>
        <v>6.069999999999999</v>
      </c>
      <c r="E239" s="5"/>
      <c r="F239" s="7">
        <f t="shared" si="156"/>
        <v>4.27</v>
      </c>
      <c r="G239" s="2">
        <v>0.4</v>
      </c>
      <c r="H239" s="2">
        <f t="shared" si="138"/>
        <v>23904</v>
      </c>
      <c r="I239" s="2">
        <v>0.5</v>
      </c>
      <c r="J239" s="2">
        <f t="shared" si="139"/>
        <v>29880</v>
      </c>
      <c r="K239" s="190"/>
      <c r="L239" s="2">
        <f t="shared" si="140"/>
        <v>0</v>
      </c>
      <c r="M239" s="190">
        <v>3.11</v>
      </c>
      <c r="N239" s="2">
        <f t="shared" si="141"/>
        <v>185853.59999999998</v>
      </c>
      <c r="O239" s="190"/>
      <c r="P239" s="2">
        <f t="shared" si="142"/>
        <v>0</v>
      </c>
      <c r="Q239" s="190"/>
      <c r="R239" s="2">
        <f t="shared" si="143"/>
        <v>0</v>
      </c>
      <c r="S239" s="2">
        <v>0.1</v>
      </c>
      <c r="T239" s="21">
        <f t="shared" si="144"/>
        <v>5976</v>
      </c>
      <c r="U239" s="2">
        <v>0.16</v>
      </c>
      <c r="V239" s="21">
        <f t="shared" si="145"/>
        <v>9561.6</v>
      </c>
      <c r="W239" s="6">
        <f t="shared" si="155"/>
        <v>44</v>
      </c>
      <c r="X239" s="3" t="s">
        <v>163</v>
      </c>
      <c r="Y239" s="43">
        <v>4980</v>
      </c>
      <c r="Z239" s="32">
        <f t="shared" si="146"/>
        <v>1.8</v>
      </c>
      <c r="AA239" s="2">
        <v>0.5</v>
      </c>
      <c r="AB239" s="21">
        <f t="shared" si="147"/>
        <v>29880</v>
      </c>
      <c r="AC239" s="2">
        <v>0.38</v>
      </c>
      <c r="AD239" s="21">
        <f t="shared" si="148"/>
        <v>22708.800000000003</v>
      </c>
      <c r="AE239" s="2">
        <v>0.38</v>
      </c>
      <c r="AF239" s="21">
        <f t="shared" si="154"/>
        <v>22708.800000000003</v>
      </c>
      <c r="AG239" s="2">
        <v>0.38</v>
      </c>
      <c r="AH239" s="21">
        <f t="shared" si="149"/>
        <v>22708.800000000003</v>
      </c>
      <c r="AI239" s="2">
        <v>0.16</v>
      </c>
      <c r="AJ239" s="21">
        <f t="shared" si="118"/>
        <v>9561.6</v>
      </c>
      <c r="AK239" s="32">
        <f t="shared" si="150"/>
        <v>0</v>
      </c>
      <c r="AL239" s="2"/>
      <c r="AM239" s="21">
        <f t="shared" si="151"/>
        <v>0</v>
      </c>
      <c r="AN239" s="190"/>
      <c r="AO239" s="21">
        <f t="shared" si="152"/>
        <v>0</v>
      </c>
      <c r="AP239" s="190"/>
      <c r="AQ239" s="21">
        <f t="shared" si="133"/>
        <v>0</v>
      </c>
      <c r="AR239" s="190"/>
      <c r="AS239" s="21">
        <f t="shared" si="153"/>
        <v>0</v>
      </c>
      <c r="AT239" s="190"/>
      <c r="AU239" s="21">
        <f t="shared" si="135"/>
        <v>0</v>
      </c>
      <c r="AV239" s="16"/>
    </row>
    <row r="240" spans="1:48" ht="12.75">
      <c r="A240" s="6">
        <f t="shared" si="136"/>
        <v>45</v>
      </c>
      <c r="B240" s="3" t="s">
        <v>164</v>
      </c>
      <c r="C240" s="43">
        <v>6314.7</v>
      </c>
      <c r="D240" s="5">
        <f t="shared" si="137"/>
        <v>6.1</v>
      </c>
      <c r="E240" s="5"/>
      <c r="F240" s="7">
        <f t="shared" si="156"/>
        <v>1.3</v>
      </c>
      <c r="G240" s="2">
        <v>0.35</v>
      </c>
      <c r="H240" s="2">
        <f t="shared" si="138"/>
        <v>26521.739999999998</v>
      </c>
      <c r="I240" s="2">
        <v>0.55</v>
      </c>
      <c r="J240" s="2">
        <f t="shared" si="139"/>
        <v>41677.020000000004</v>
      </c>
      <c r="K240" s="190"/>
      <c r="L240" s="2">
        <f t="shared" si="140"/>
        <v>0</v>
      </c>
      <c r="M240" s="190"/>
      <c r="N240" s="2">
        <f t="shared" si="141"/>
        <v>0</v>
      </c>
      <c r="O240" s="190"/>
      <c r="P240" s="2">
        <f t="shared" si="142"/>
        <v>0</v>
      </c>
      <c r="Q240" s="190"/>
      <c r="R240" s="2">
        <f t="shared" si="143"/>
        <v>0</v>
      </c>
      <c r="S240" s="2">
        <v>0.2</v>
      </c>
      <c r="T240" s="21">
        <f t="shared" si="144"/>
        <v>15155.28</v>
      </c>
      <c r="U240" s="2">
        <v>0.2</v>
      </c>
      <c r="V240" s="21">
        <f t="shared" si="145"/>
        <v>15155.28</v>
      </c>
      <c r="W240" s="6">
        <f t="shared" si="155"/>
        <v>45</v>
      </c>
      <c r="X240" s="3" t="s">
        <v>164</v>
      </c>
      <c r="Y240" s="43">
        <v>6314.7</v>
      </c>
      <c r="Z240" s="32">
        <f t="shared" si="146"/>
        <v>3.2800000000000002</v>
      </c>
      <c r="AA240" s="2">
        <v>0.7</v>
      </c>
      <c r="AB240" s="21">
        <f t="shared" si="147"/>
        <v>53043.479999999996</v>
      </c>
      <c r="AC240" s="2">
        <v>0.9</v>
      </c>
      <c r="AD240" s="21">
        <f t="shared" si="148"/>
        <v>68198.76</v>
      </c>
      <c r="AE240" s="2">
        <v>0.9</v>
      </c>
      <c r="AF240" s="21">
        <f t="shared" si="154"/>
        <v>68198.76</v>
      </c>
      <c r="AG240" s="2">
        <v>0.58</v>
      </c>
      <c r="AH240" s="21">
        <f t="shared" si="149"/>
        <v>43950.312</v>
      </c>
      <c r="AI240" s="2">
        <v>0.2</v>
      </c>
      <c r="AJ240" s="21">
        <f t="shared" si="118"/>
        <v>15155.28</v>
      </c>
      <c r="AK240" s="32">
        <f t="shared" si="150"/>
        <v>1.52</v>
      </c>
      <c r="AL240" s="2">
        <v>1.52</v>
      </c>
      <c r="AM240" s="21">
        <f t="shared" si="151"/>
        <v>115180.128</v>
      </c>
      <c r="AN240" s="190"/>
      <c r="AO240" s="21">
        <f t="shared" si="152"/>
        <v>0</v>
      </c>
      <c r="AP240" s="190"/>
      <c r="AQ240" s="21">
        <f t="shared" si="133"/>
        <v>0</v>
      </c>
      <c r="AR240" s="190"/>
      <c r="AS240" s="21">
        <f t="shared" si="153"/>
        <v>0</v>
      </c>
      <c r="AT240" s="190"/>
      <c r="AU240" s="21">
        <f t="shared" si="135"/>
        <v>0</v>
      </c>
      <c r="AV240" s="16"/>
    </row>
    <row r="241" spans="1:48" ht="12.75">
      <c r="A241" s="6">
        <f t="shared" si="136"/>
        <v>46</v>
      </c>
      <c r="B241" s="3" t="s">
        <v>165</v>
      </c>
      <c r="C241" s="89">
        <v>4805.1</v>
      </c>
      <c r="D241" s="5">
        <f t="shared" si="137"/>
        <v>6.57</v>
      </c>
      <c r="E241" s="5"/>
      <c r="F241" s="7">
        <f t="shared" si="156"/>
        <v>4.220000000000001</v>
      </c>
      <c r="G241" s="2">
        <v>0.3</v>
      </c>
      <c r="H241" s="2">
        <f t="shared" si="138"/>
        <v>17298.36</v>
      </c>
      <c r="I241" s="2">
        <v>0.55</v>
      </c>
      <c r="J241" s="2">
        <f t="shared" si="139"/>
        <v>31713.660000000003</v>
      </c>
      <c r="K241" s="190"/>
      <c r="L241" s="2">
        <f t="shared" si="140"/>
        <v>0</v>
      </c>
      <c r="M241" s="190">
        <v>3.02</v>
      </c>
      <c r="N241" s="2">
        <f t="shared" si="141"/>
        <v>174136.82400000002</v>
      </c>
      <c r="O241" s="190"/>
      <c r="P241" s="2">
        <f t="shared" si="142"/>
        <v>0</v>
      </c>
      <c r="Q241" s="190"/>
      <c r="R241" s="2">
        <f t="shared" si="143"/>
        <v>0</v>
      </c>
      <c r="S241" s="2">
        <v>0.2</v>
      </c>
      <c r="T241" s="21">
        <f t="shared" si="144"/>
        <v>11532.240000000002</v>
      </c>
      <c r="U241" s="2">
        <v>0.15</v>
      </c>
      <c r="V241" s="37">
        <f t="shared" si="145"/>
        <v>8649.18</v>
      </c>
      <c r="W241" s="6">
        <f t="shared" si="155"/>
        <v>46</v>
      </c>
      <c r="X241" s="3" t="s">
        <v>165</v>
      </c>
      <c r="Y241" s="89">
        <v>4805.1</v>
      </c>
      <c r="Z241" s="32">
        <f t="shared" si="146"/>
        <v>2.3499999999999996</v>
      </c>
      <c r="AA241" s="2">
        <v>0.5</v>
      </c>
      <c r="AB241" s="21">
        <f t="shared" si="147"/>
        <v>28830.600000000002</v>
      </c>
      <c r="AC241" s="2">
        <v>0.7</v>
      </c>
      <c r="AD241" s="21">
        <f t="shared" si="148"/>
        <v>40362.840000000004</v>
      </c>
      <c r="AE241" s="2">
        <v>0.7</v>
      </c>
      <c r="AF241" s="21">
        <f t="shared" si="154"/>
        <v>40362.840000000004</v>
      </c>
      <c r="AG241" s="2">
        <v>0.3</v>
      </c>
      <c r="AH241" s="21">
        <f t="shared" si="149"/>
        <v>17298.36</v>
      </c>
      <c r="AI241" s="2">
        <v>0.15</v>
      </c>
      <c r="AJ241" s="21">
        <f t="shared" si="118"/>
        <v>8649.18</v>
      </c>
      <c r="AK241" s="32">
        <f t="shared" si="150"/>
        <v>0</v>
      </c>
      <c r="AL241" s="2"/>
      <c r="AM241" s="21">
        <f t="shared" si="151"/>
        <v>0</v>
      </c>
      <c r="AN241" s="190"/>
      <c r="AO241" s="21">
        <f t="shared" si="152"/>
        <v>0</v>
      </c>
      <c r="AP241" s="190"/>
      <c r="AQ241" s="21">
        <f t="shared" si="133"/>
        <v>0</v>
      </c>
      <c r="AR241" s="190"/>
      <c r="AS241" s="21">
        <f t="shared" si="153"/>
        <v>0</v>
      </c>
      <c r="AT241" s="190"/>
      <c r="AU241" s="21">
        <f t="shared" si="135"/>
        <v>0</v>
      </c>
      <c r="AV241" s="16"/>
    </row>
    <row r="242" spans="1:48" ht="12.75">
      <c r="A242" s="6">
        <f t="shared" si="136"/>
        <v>47</v>
      </c>
      <c r="B242" s="3" t="s">
        <v>166</v>
      </c>
      <c r="C242" s="43">
        <v>2771.1</v>
      </c>
      <c r="D242" s="5">
        <f t="shared" si="137"/>
        <v>5.8</v>
      </c>
      <c r="E242" s="5"/>
      <c r="F242" s="7">
        <f t="shared" si="156"/>
        <v>1.9</v>
      </c>
      <c r="G242" s="2">
        <v>0.5</v>
      </c>
      <c r="H242" s="2">
        <f t="shared" si="138"/>
        <v>16626.6</v>
      </c>
      <c r="I242" s="2">
        <v>1.05</v>
      </c>
      <c r="J242" s="2">
        <f>I242*C242*12</f>
        <v>34915.86</v>
      </c>
      <c r="K242" s="190"/>
      <c r="L242" s="2">
        <f t="shared" si="140"/>
        <v>0</v>
      </c>
      <c r="M242" s="190"/>
      <c r="N242" s="2">
        <f t="shared" si="141"/>
        <v>0</v>
      </c>
      <c r="O242" s="190"/>
      <c r="P242" s="2">
        <f t="shared" si="142"/>
        <v>0</v>
      </c>
      <c r="Q242" s="190"/>
      <c r="R242" s="2">
        <f t="shared" si="143"/>
        <v>0</v>
      </c>
      <c r="S242" s="2">
        <v>0.2</v>
      </c>
      <c r="T242" s="21">
        <f t="shared" si="144"/>
        <v>6650.64</v>
      </c>
      <c r="U242" s="2">
        <v>0.15</v>
      </c>
      <c r="V242" s="37">
        <f t="shared" si="145"/>
        <v>4987.98</v>
      </c>
      <c r="W242" s="6">
        <f t="shared" si="155"/>
        <v>47</v>
      </c>
      <c r="X242" s="3" t="s">
        <v>166</v>
      </c>
      <c r="Y242" s="43">
        <v>2771.1</v>
      </c>
      <c r="Z242" s="32">
        <f t="shared" si="146"/>
        <v>3.5500000000000003</v>
      </c>
      <c r="AA242" s="2">
        <v>1</v>
      </c>
      <c r="AB242" s="21">
        <f>AA242*C242*12</f>
        <v>33253.2</v>
      </c>
      <c r="AC242" s="2">
        <v>0.8</v>
      </c>
      <c r="AD242" s="21">
        <f t="shared" si="148"/>
        <v>26602.56</v>
      </c>
      <c r="AE242" s="2">
        <v>0.8</v>
      </c>
      <c r="AF242" s="2">
        <f t="shared" si="154"/>
        <v>26602.56</v>
      </c>
      <c r="AG242" s="2">
        <v>0.8</v>
      </c>
      <c r="AH242" s="21">
        <f t="shared" si="149"/>
        <v>26602.56</v>
      </c>
      <c r="AI242" s="2">
        <v>0.15</v>
      </c>
      <c r="AJ242" s="21">
        <f>AI242*C242*12</f>
        <v>4987.98</v>
      </c>
      <c r="AK242" s="32">
        <f t="shared" si="150"/>
        <v>0.35</v>
      </c>
      <c r="AL242" s="2"/>
      <c r="AM242" s="21">
        <f t="shared" si="151"/>
        <v>0</v>
      </c>
      <c r="AN242" s="190">
        <v>0.35</v>
      </c>
      <c r="AO242" s="2">
        <f t="shared" si="152"/>
        <v>11638.619999999999</v>
      </c>
      <c r="AP242" s="190"/>
      <c r="AQ242" s="21">
        <f t="shared" si="133"/>
        <v>0</v>
      </c>
      <c r="AR242" s="190"/>
      <c r="AS242" s="21">
        <f t="shared" si="153"/>
        <v>0</v>
      </c>
      <c r="AT242" s="190"/>
      <c r="AU242" s="2">
        <f t="shared" si="135"/>
        <v>0</v>
      </c>
      <c r="AV242" s="16"/>
    </row>
    <row r="243" spans="1:48" ht="12.75">
      <c r="A243" s="6">
        <f>A242+1</f>
        <v>48</v>
      </c>
      <c r="B243" s="3" t="s">
        <v>302</v>
      </c>
      <c r="C243" s="12">
        <v>1672.7</v>
      </c>
      <c r="D243" s="5">
        <f t="shared" si="137"/>
        <v>0</v>
      </c>
      <c r="E243" s="6"/>
      <c r="F243" s="7">
        <f t="shared" si="156"/>
        <v>0</v>
      </c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5"/>
      <c r="W243" s="115"/>
      <c r="X243" s="115"/>
      <c r="Y243" s="12">
        <v>1672.7</v>
      </c>
      <c r="Z243" s="32">
        <f t="shared" si="146"/>
        <v>0</v>
      </c>
      <c r="AA243" s="114"/>
      <c r="AB243" s="114"/>
      <c r="AC243" s="114"/>
      <c r="AD243" s="114"/>
      <c r="AE243" s="114"/>
      <c r="AF243" s="114"/>
      <c r="AG243" s="114"/>
      <c r="AH243" s="116"/>
      <c r="AI243" s="114"/>
      <c r="AJ243" s="114"/>
      <c r="AK243" s="117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6"/>
      <c r="AV243" s="16"/>
    </row>
    <row r="244" spans="21:41" ht="12.75"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39"/>
      <c r="AL244" s="29"/>
      <c r="AM244" s="29"/>
      <c r="AN244" s="29"/>
      <c r="AO244" s="29"/>
    </row>
    <row r="245" spans="3:41" ht="12.75">
      <c r="C245" s="10"/>
      <c r="D245" s="35"/>
      <c r="E245" s="35"/>
      <c r="I245" s="35"/>
      <c r="M245" s="8"/>
      <c r="N245" s="8"/>
      <c r="O245" s="10"/>
      <c r="P245" s="8"/>
      <c r="T245" s="106"/>
      <c r="U245" s="29"/>
      <c r="V245" s="29"/>
      <c r="W245" s="29"/>
      <c r="X245" s="29"/>
      <c r="Y245" s="10"/>
      <c r="Z245" s="29"/>
      <c r="AA245" s="29"/>
      <c r="AB245" s="108"/>
      <c r="AC245" s="29"/>
      <c r="AD245" s="29"/>
      <c r="AE245" s="29"/>
      <c r="AF245" s="29"/>
      <c r="AG245" s="10"/>
      <c r="AH245" s="35"/>
      <c r="AI245" s="35"/>
      <c r="AJ245" s="35"/>
      <c r="AK245" s="39"/>
      <c r="AL245" s="29"/>
      <c r="AM245" s="29"/>
      <c r="AN245" s="29"/>
      <c r="AO245" s="29"/>
    </row>
    <row r="246" spans="21:41" ht="12.75"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39"/>
      <c r="AL246" s="29"/>
      <c r="AM246" s="29"/>
      <c r="AN246" s="29"/>
      <c r="AO246" s="29"/>
    </row>
    <row r="247" spans="21:41" ht="12.75"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39"/>
      <c r="AL247" s="29"/>
      <c r="AM247" s="29"/>
      <c r="AN247" s="29"/>
      <c r="AO247" s="29"/>
    </row>
    <row r="248" spans="21:41" ht="12.75"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39"/>
      <c r="AL248" s="29"/>
      <c r="AM248" s="29"/>
      <c r="AN248" s="29"/>
      <c r="AO248" s="29"/>
    </row>
    <row r="249" spans="21:41" ht="12.75"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39"/>
      <c r="AL249" s="29"/>
      <c r="AM249" s="29"/>
      <c r="AN249" s="29"/>
      <c r="AO249" s="29"/>
    </row>
    <row r="250" spans="21:41" ht="12.75"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39"/>
      <c r="AL250" s="29"/>
      <c r="AM250" s="29"/>
      <c r="AN250" s="29"/>
      <c r="AO250" s="29"/>
    </row>
    <row r="251" spans="21:41" ht="12.75"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39"/>
      <c r="AL251" s="29"/>
      <c r="AM251" s="29"/>
      <c r="AN251" s="29"/>
      <c r="AO251" s="29"/>
    </row>
    <row r="252" spans="21:41" ht="12.75"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39"/>
      <c r="AL252" s="29"/>
      <c r="AM252" s="29"/>
      <c r="AN252" s="29"/>
      <c r="AO252" s="29"/>
    </row>
    <row r="253" spans="21:41" ht="12.75"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39"/>
      <c r="AL253" s="29"/>
      <c r="AM253" s="29"/>
      <c r="AN253" s="29"/>
      <c r="AO253" s="29"/>
    </row>
    <row r="254" spans="21:41" ht="12.75"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39"/>
      <c r="AL254" s="29"/>
      <c r="AM254" s="29"/>
      <c r="AN254" s="29"/>
      <c r="AO254" s="29"/>
    </row>
    <row r="255" spans="21:41" ht="12.75"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39"/>
      <c r="AL255" s="29"/>
      <c r="AM255" s="29"/>
      <c r="AN255" s="29"/>
      <c r="AO255" s="29"/>
    </row>
    <row r="256" spans="21:41" ht="12.75"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39"/>
      <c r="AL256" s="29"/>
      <c r="AM256" s="29"/>
      <c r="AN256" s="29"/>
      <c r="AO256" s="29"/>
    </row>
    <row r="257" spans="21:41" ht="12.75"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39"/>
      <c r="AL257" s="29"/>
      <c r="AM257" s="29"/>
      <c r="AN257" s="29"/>
      <c r="AO257" s="29"/>
    </row>
    <row r="258" spans="21:41" ht="12.75"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39"/>
      <c r="AL258" s="29"/>
      <c r="AM258" s="29"/>
      <c r="AN258" s="29"/>
      <c r="AO258" s="29"/>
    </row>
    <row r="259" spans="21:41" ht="12.75"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39"/>
      <c r="AL259" s="29"/>
      <c r="AM259" s="29"/>
      <c r="AN259" s="29"/>
      <c r="AO259" s="29"/>
    </row>
    <row r="260" spans="21:41" ht="12.75"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39"/>
      <c r="AL260" s="29"/>
      <c r="AM260" s="29"/>
      <c r="AN260" s="29"/>
      <c r="AO260" s="29"/>
    </row>
    <row r="261" spans="21:41" ht="12.75"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39"/>
      <c r="AL261" s="29"/>
      <c r="AM261" s="29"/>
      <c r="AN261" s="29"/>
      <c r="AO261" s="29"/>
    </row>
    <row r="262" spans="21:41" ht="12.75"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39"/>
      <c r="AL262" s="29"/>
      <c r="AM262" s="29"/>
      <c r="AN262" s="29"/>
      <c r="AO262" s="29"/>
    </row>
    <row r="263" spans="21:41" ht="12.75"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39"/>
      <c r="AL263" s="29"/>
      <c r="AM263" s="29"/>
      <c r="AN263" s="29"/>
      <c r="AO263" s="29"/>
    </row>
    <row r="264" spans="21:41" ht="12.75"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39"/>
      <c r="AL264" s="29"/>
      <c r="AM264" s="29"/>
      <c r="AN264" s="29"/>
      <c r="AO264" s="29"/>
    </row>
    <row r="265" spans="21:41" ht="12.75"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39"/>
      <c r="AL265" s="29"/>
      <c r="AM265" s="29"/>
      <c r="AN265" s="29"/>
      <c r="AO265" s="29"/>
    </row>
    <row r="266" spans="21:41" ht="12.75"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39"/>
      <c r="AL266" s="29"/>
      <c r="AM266" s="29"/>
      <c r="AN266" s="29"/>
      <c r="AO266" s="29"/>
    </row>
    <row r="267" spans="21:41" ht="12.75"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39"/>
      <c r="AL267" s="29"/>
      <c r="AM267" s="29"/>
      <c r="AN267" s="29"/>
      <c r="AO267" s="29"/>
    </row>
    <row r="268" spans="21:41" ht="12.75"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39"/>
      <c r="AL268" s="29"/>
      <c r="AM268" s="29"/>
      <c r="AN268" s="29"/>
      <c r="AO268" s="29"/>
    </row>
    <row r="269" spans="21:41" ht="12.75"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39"/>
      <c r="AL269" s="29"/>
      <c r="AM269" s="29"/>
      <c r="AN269" s="29"/>
      <c r="AO269" s="29"/>
    </row>
    <row r="270" spans="21:41" ht="12.75"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39"/>
      <c r="AL270" s="29"/>
      <c r="AM270" s="29"/>
      <c r="AN270" s="29"/>
      <c r="AO270" s="29"/>
    </row>
    <row r="271" spans="21:41" ht="12.75"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39"/>
      <c r="AL271" s="29"/>
      <c r="AM271" s="29"/>
      <c r="AN271" s="29"/>
      <c r="AO271" s="29"/>
    </row>
    <row r="272" spans="21:41" ht="12.75"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39"/>
      <c r="AL272" s="29"/>
      <c r="AM272" s="29"/>
      <c r="AN272" s="29"/>
      <c r="AO272" s="29"/>
    </row>
    <row r="273" spans="21:41" ht="12.75"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39"/>
      <c r="AL273" s="29"/>
      <c r="AM273" s="29"/>
      <c r="AN273" s="29"/>
      <c r="AO273" s="29"/>
    </row>
    <row r="274" spans="21:41" ht="12.75"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39"/>
      <c r="AL274" s="29"/>
      <c r="AM274" s="29"/>
      <c r="AN274" s="29"/>
      <c r="AO274" s="29"/>
    </row>
    <row r="275" spans="21:41" ht="12.75"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39"/>
      <c r="AL275" s="29"/>
      <c r="AM275" s="29"/>
      <c r="AN275" s="29"/>
      <c r="AO275" s="29"/>
    </row>
    <row r="276" spans="21:41" ht="12.75"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39"/>
      <c r="AL276" s="29"/>
      <c r="AM276" s="29"/>
      <c r="AN276" s="29"/>
      <c r="AO276" s="29"/>
    </row>
    <row r="277" spans="21:41" ht="12.75"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39"/>
      <c r="AL277" s="29"/>
      <c r="AM277" s="29"/>
      <c r="AN277" s="29"/>
      <c r="AO277" s="29"/>
    </row>
    <row r="278" spans="21:41" ht="12.75"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39"/>
      <c r="AL278" s="29"/>
      <c r="AM278" s="29"/>
      <c r="AN278" s="29"/>
      <c r="AO278" s="29"/>
    </row>
    <row r="279" spans="21:41" ht="12.75"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39"/>
      <c r="AL279" s="29"/>
      <c r="AM279" s="29"/>
      <c r="AN279" s="29"/>
      <c r="AO279" s="29"/>
    </row>
    <row r="280" spans="21:41" ht="12.75"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39"/>
      <c r="AL280" s="29"/>
      <c r="AM280" s="29"/>
      <c r="AN280" s="29"/>
      <c r="AO280" s="29"/>
    </row>
    <row r="281" spans="21:41" ht="12.75"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39"/>
      <c r="AL281" s="29"/>
      <c r="AM281" s="29"/>
      <c r="AN281" s="29"/>
      <c r="AO281" s="29"/>
    </row>
    <row r="282" spans="21:41" ht="12.75"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39"/>
      <c r="AL282" s="29"/>
      <c r="AM282" s="29"/>
      <c r="AN282" s="29"/>
      <c r="AO282" s="29"/>
    </row>
    <row r="283" spans="21:41" ht="12.75"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39"/>
      <c r="AL283" s="29"/>
      <c r="AM283" s="29"/>
      <c r="AN283" s="29"/>
      <c r="AO283" s="29"/>
    </row>
    <row r="284" spans="21:41" ht="12.75"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39"/>
      <c r="AL284" s="29"/>
      <c r="AM284" s="29"/>
      <c r="AN284" s="29"/>
      <c r="AO284" s="29"/>
    </row>
    <row r="285" spans="21:41" ht="12.75"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39"/>
      <c r="AL285" s="29"/>
      <c r="AM285" s="29"/>
      <c r="AN285" s="29"/>
      <c r="AO285" s="29"/>
    </row>
    <row r="286" spans="21:41" ht="12.75"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39"/>
      <c r="AL286" s="29"/>
      <c r="AM286" s="29"/>
      <c r="AN286" s="29"/>
      <c r="AO286" s="29"/>
    </row>
    <row r="287" spans="21:41" ht="12.75"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39"/>
      <c r="AL287" s="29"/>
      <c r="AM287" s="29"/>
      <c r="AN287" s="29"/>
      <c r="AO287" s="29"/>
    </row>
    <row r="288" spans="21:41" ht="12.75"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39"/>
      <c r="AL288" s="29"/>
      <c r="AM288" s="29"/>
      <c r="AN288" s="29"/>
      <c r="AO288" s="29"/>
    </row>
    <row r="289" ht="12.75">
      <c r="AK289" s="40"/>
    </row>
    <row r="290" ht="12.75">
      <c r="AK290" s="40"/>
    </row>
    <row r="291" ht="12.75">
      <c r="AK291" s="40"/>
    </row>
    <row r="292" ht="12.75">
      <c r="AK292" s="40"/>
    </row>
    <row r="293" ht="12.75">
      <c r="AK293" s="40"/>
    </row>
    <row r="294" ht="12.75">
      <c r="AK294" s="40"/>
    </row>
    <row r="295" ht="12.75">
      <c r="AK295" s="40"/>
    </row>
    <row r="296" ht="12.75">
      <c r="AK296" s="40"/>
    </row>
    <row r="297" ht="12.75">
      <c r="AK297" s="40"/>
    </row>
    <row r="298" ht="12.75">
      <c r="AK298" s="40"/>
    </row>
    <row r="299" ht="12.75">
      <c r="AK299" s="40"/>
    </row>
    <row r="300" ht="12.75">
      <c r="AK300" s="40"/>
    </row>
    <row r="301" ht="12.75">
      <c r="AK301" s="40"/>
    </row>
    <row r="302" ht="12.75">
      <c r="AK302" s="40"/>
    </row>
    <row r="303" ht="12.75">
      <c r="AK303" s="40"/>
    </row>
    <row r="304" ht="12.75">
      <c r="AK304" s="40"/>
    </row>
    <row r="305" ht="12.75">
      <c r="AK305" s="40"/>
    </row>
    <row r="306" ht="12.75">
      <c r="AK306" s="40"/>
    </row>
    <row r="307" ht="12.75">
      <c r="AK307" s="40"/>
    </row>
    <row r="308" ht="12.75">
      <c r="AK308" s="40"/>
    </row>
    <row r="309" ht="12.75">
      <c r="AK309" s="40"/>
    </row>
    <row r="310" ht="12.75">
      <c r="AK310" s="40"/>
    </row>
    <row r="311" ht="12.75">
      <c r="AK311" s="40"/>
    </row>
    <row r="312" ht="12.75">
      <c r="AK312" s="40"/>
    </row>
    <row r="313" ht="12.75">
      <c r="AK313" s="40"/>
    </row>
    <row r="314" ht="12.75">
      <c r="AK314" s="40"/>
    </row>
    <row r="315" ht="12.75">
      <c r="AK315" s="40"/>
    </row>
    <row r="316" ht="12.75">
      <c r="AK316" s="40"/>
    </row>
    <row r="317" ht="12.75">
      <c r="AK317" s="40"/>
    </row>
    <row r="318" ht="12.75">
      <c r="AK318" s="40"/>
    </row>
    <row r="319" ht="12.75">
      <c r="AK319" s="41"/>
    </row>
    <row r="320" ht="12.75">
      <c r="AK320" s="41"/>
    </row>
    <row r="321" ht="12.75">
      <c r="AK321" s="41"/>
    </row>
    <row r="322" ht="12.75">
      <c r="AK322" s="41"/>
    </row>
    <row r="323" ht="12.75">
      <c r="AK323" s="41"/>
    </row>
    <row r="324" ht="12.75">
      <c r="AK324" s="41"/>
    </row>
    <row r="325" ht="12.75">
      <c r="AK325" s="41"/>
    </row>
    <row r="326" ht="12.75">
      <c r="AK326" s="41"/>
    </row>
    <row r="327" ht="12.75">
      <c r="AK327" s="41"/>
    </row>
    <row r="328" ht="12.75">
      <c r="AK328" s="41"/>
    </row>
    <row r="329" ht="12.75">
      <c r="AK329" s="41"/>
    </row>
  </sheetData>
  <sheetProtection/>
  <mergeCells count="28">
    <mergeCell ref="M5:N5"/>
    <mergeCell ref="AK4:AU4"/>
    <mergeCell ref="B2:V2"/>
    <mergeCell ref="W4:W6"/>
    <mergeCell ref="X4:X6"/>
    <mergeCell ref="X2:AJ2"/>
    <mergeCell ref="Y4:Y6"/>
    <mergeCell ref="AI5:AJ5"/>
    <mergeCell ref="G5:H5"/>
    <mergeCell ref="I5:J5"/>
    <mergeCell ref="K5:L5"/>
    <mergeCell ref="A4:A6"/>
    <mergeCell ref="B4:B6"/>
    <mergeCell ref="Z4:AJ4"/>
    <mergeCell ref="F4:V4"/>
    <mergeCell ref="AC5:AD5"/>
    <mergeCell ref="O5:P5"/>
    <mergeCell ref="Q5:R5"/>
    <mergeCell ref="S5:T5"/>
    <mergeCell ref="U5:V5"/>
    <mergeCell ref="AA5:AB5"/>
    <mergeCell ref="AT5:AU5"/>
    <mergeCell ref="AR5:AS5"/>
    <mergeCell ref="AP5:AQ5"/>
    <mergeCell ref="AN5:AO5"/>
    <mergeCell ref="AL5:AM5"/>
    <mergeCell ref="AE5:AF5"/>
    <mergeCell ref="AG5:AH5"/>
  </mergeCells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7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.8515625" style="8" customWidth="1"/>
    <col min="2" max="2" width="4.00390625" style="62" customWidth="1"/>
    <col min="3" max="3" width="16.28125" style="73" customWidth="1"/>
    <col min="4" max="5" width="9.57421875" style="62" customWidth="1"/>
    <col min="6" max="6" width="6.00390625" style="101" customWidth="1"/>
    <col min="7" max="7" width="6.421875" style="101" customWidth="1"/>
    <col min="8" max="8" width="11.28125" style="61" customWidth="1"/>
    <col min="9" max="9" width="6.00390625" style="62" customWidth="1"/>
    <col min="10" max="10" width="10.140625" style="62" customWidth="1"/>
    <col min="11" max="11" width="11.00390625" style="62" customWidth="1"/>
    <col min="12" max="12" width="8.8515625" style="62" customWidth="1"/>
    <col min="13" max="13" width="5.7109375" style="62" customWidth="1"/>
    <col min="14" max="14" width="11.00390625" style="62" customWidth="1"/>
    <col min="15" max="15" width="5.8515625" style="62" customWidth="1"/>
    <col min="16" max="16" width="9.7109375" style="62" customWidth="1"/>
    <col min="17" max="17" width="7.00390625" style="62" customWidth="1"/>
    <col min="18" max="18" width="10.140625" style="62" customWidth="1"/>
    <col min="19" max="19" width="6.140625" style="62" customWidth="1"/>
    <col min="20" max="20" width="9.28125" style="62" customWidth="1"/>
    <col min="21" max="21" width="5.57421875" style="62" customWidth="1"/>
    <col min="22" max="22" width="10.57421875" style="62" customWidth="1"/>
    <col min="23" max="23" width="5.140625" style="62" customWidth="1"/>
    <col min="24" max="24" width="10.140625" style="62" customWidth="1"/>
    <col min="25" max="25" width="5.00390625" style="62" customWidth="1"/>
    <col min="26" max="26" width="9.7109375" style="62" customWidth="1"/>
    <col min="27" max="27" width="5.421875" style="62" customWidth="1"/>
    <col min="28" max="28" width="8.00390625" style="62" customWidth="1"/>
    <col min="29" max="29" width="5.00390625" style="62" customWidth="1"/>
    <col min="30" max="30" width="10.00390625" style="62" customWidth="1"/>
    <col min="31" max="31" width="6.140625" style="62" customWidth="1"/>
    <col min="32" max="32" width="9.28125" style="62" customWidth="1"/>
    <col min="33" max="33" width="6.8515625" style="62" customWidth="1"/>
    <col min="34" max="34" width="9.421875" style="62" customWidth="1"/>
    <col min="35" max="35" width="8.140625" style="65" customWidth="1"/>
    <col min="36" max="36" width="8.8515625" style="65" customWidth="1"/>
    <col min="37" max="37" width="6.140625" style="62" customWidth="1"/>
    <col min="38" max="38" width="8.28125" style="62" customWidth="1"/>
    <col min="39" max="39" width="5.7109375" style="62" customWidth="1"/>
    <col min="40" max="40" width="10.00390625" style="62" customWidth="1"/>
    <col min="41" max="41" width="7.140625" style="65" customWidth="1"/>
    <col min="42" max="42" width="0.2890625" style="65" customWidth="1"/>
    <col min="43" max="43" width="5.8515625" style="65" hidden="1" customWidth="1"/>
    <col min="44" max="16384" width="9.140625" style="8" customWidth="1"/>
  </cols>
  <sheetData>
    <row r="1" spans="3:34" ht="12.75">
      <c r="C1" s="152" t="s">
        <v>305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H1" s="62" t="s">
        <v>193</v>
      </c>
    </row>
    <row r="2" spans="3:20" ht="12.75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2:43" ht="65.25" customHeight="1">
      <c r="B3" s="149" t="s">
        <v>191</v>
      </c>
      <c r="C3" s="155"/>
      <c r="D3" s="137" t="s">
        <v>192</v>
      </c>
      <c r="E3" s="42"/>
      <c r="F3" s="153" t="s">
        <v>194</v>
      </c>
      <c r="G3" s="153"/>
      <c r="H3" s="153"/>
      <c r="I3" s="149" t="s">
        <v>298</v>
      </c>
      <c r="J3" s="149"/>
      <c r="K3" s="149" t="s">
        <v>195</v>
      </c>
      <c r="L3" s="149"/>
      <c r="M3" s="149" t="s">
        <v>226</v>
      </c>
      <c r="N3" s="149"/>
      <c r="O3" s="149" t="s">
        <v>245</v>
      </c>
      <c r="P3" s="149"/>
      <c r="Q3" s="125" t="s">
        <v>197</v>
      </c>
      <c r="R3" s="125"/>
      <c r="S3" s="125" t="s">
        <v>198</v>
      </c>
      <c r="T3" s="125"/>
      <c r="U3" s="149" t="s">
        <v>199</v>
      </c>
      <c r="V3" s="149"/>
      <c r="W3" s="125" t="s">
        <v>307</v>
      </c>
      <c r="X3" s="125"/>
      <c r="Y3" s="125" t="s">
        <v>249</v>
      </c>
      <c r="Z3" s="125"/>
      <c r="AA3" s="125" t="s">
        <v>304</v>
      </c>
      <c r="AB3" s="125"/>
      <c r="AC3" s="125" t="s">
        <v>200</v>
      </c>
      <c r="AD3" s="125"/>
      <c r="AE3" s="125" t="s">
        <v>201</v>
      </c>
      <c r="AF3" s="125"/>
      <c r="AG3" s="125" t="s">
        <v>202</v>
      </c>
      <c r="AH3" s="148"/>
      <c r="AI3" s="149" t="s">
        <v>196</v>
      </c>
      <c r="AJ3" s="149"/>
      <c r="AK3" s="125" t="s">
        <v>203</v>
      </c>
      <c r="AL3" s="148"/>
      <c r="AM3" s="148"/>
      <c r="AN3" s="148"/>
      <c r="AO3" s="150" t="s">
        <v>256</v>
      </c>
      <c r="AQ3" s="156"/>
    </row>
    <row r="4" spans="2:45" ht="84" customHeight="1">
      <c r="B4" s="148"/>
      <c r="C4" s="157"/>
      <c r="D4" s="138"/>
      <c r="E4" s="118"/>
      <c r="F4" s="153"/>
      <c r="G4" s="153"/>
      <c r="H4" s="153"/>
      <c r="I4" s="149"/>
      <c r="J4" s="149"/>
      <c r="K4" s="149"/>
      <c r="L4" s="149"/>
      <c r="M4" s="149"/>
      <c r="N4" s="149"/>
      <c r="O4" s="149"/>
      <c r="P4" s="149"/>
      <c r="Q4" s="125"/>
      <c r="R4" s="125"/>
      <c r="S4" s="125"/>
      <c r="T4" s="125"/>
      <c r="U4" s="149"/>
      <c r="V4" s="149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48"/>
      <c r="AH4" s="148"/>
      <c r="AI4" s="149"/>
      <c r="AJ4" s="149"/>
      <c r="AK4" s="125" t="s">
        <v>247</v>
      </c>
      <c r="AL4" s="125"/>
      <c r="AM4" s="125" t="s">
        <v>246</v>
      </c>
      <c r="AN4" s="125"/>
      <c r="AO4" s="151"/>
      <c r="AS4" s="158">
        <v>8.968874192685435</v>
      </c>
    </row>
    <row r="5" spans="2:45" ht="33.75">
      <c r="B5" s="148"/>
      <c r="C5" s="159"/>
      <c r="D5" s="139"/>
      <c r="E5" s="119"/>
      <c r="F5" s="13" t="s">
        <v>0</v>
      </c>
      <c r="G5" s="13"/>
      <c r="H5" s="14" t="s">
        <v>1</v>
      </c>
      <c r="I5" s="12" t="s">
        <v>0</v>
      </c>
      <c r="J5" s="12" t="s">
        <v>1</v>
      </c>
      <c r="K5" s="12" t="s">
        <v>0</v>
      </c>
      <c r="L5" s="12" t="s">
        <v>1</v>
      </c>
      <c r="M5" s="12" t="s">
        <v>0</v>
      </c>
      <c r="N5" s="12" t="s">
        <v>1</v>
      </c>
      <c r="O5" s="12" t="s">
        <v>0</v>
      </c>
      <c r="P5" s="12" t="s">
        <v>1</v>
      </c>
      <c r="Q5" s="12" t="s">
        <v>0</v>
      </c>
      <c r="R5" s="12" t="s">
        <v>1</v>
      </c>
      <c r="S5" s="12" t="s">
        <v>0</v>
      </c>
      <c r="T5" s="12" t="s">
        <v>1</v>
      </c>
      <c r="U5" s="160" t="s">
        <v>0</v>
      </c>
      <c r="V5" s="12" t="s">
        <v>1</v>
      </c>
      <c r="W5" s="12" t="s">
        <v>0</v>
      </c>
      <c r="X5" s="12" t="s">
        <v>1</v>
      </c>
      <c r="Y5" s="12" t="s">
        <v>0</v>
      </c>
      <c r="Z5" s="12" t="s">
        <v>1</v>
      </c>
      <c r="AA5" s="12" t="s">
        <v>0</v>
      </c>
      <c r="AB5" s="12" t="s">
        <v>1</v>
      </c>
      <c r="AC5" s="12" t="s">
        <v>0</v>
      </c>
      <c r="AD5" s="12" t="s">
        <v>1</v>
      </c>
      <c r="AE5" s="12" t="s">
        <v>0</v>
      </c>
      <c r="AF5" s="12" t="s">
        <v>1</v>
      </c>
      <c r="AG5" s="12" t="s">
        <v>0</v>
      </c>
      <c r="AH5" s="12" t="s">
        <v>1</v>
      </c>
      <c r="AI5" s="12" t="s">
        <v>0</v>
      </c>
      <c r="AJ5" s="12" t="s">
        <v>1</v>
      </c>
      <c r="AK5" s="12" t="s">
        <v>0</v>
      </c>
      <c r="AL5" s="12" t="s">
        <v>1</v>
      </c>
      <c r="AM5" s="12" t="s">
        <v>0</v>
      </c>
      <c r="AN5" s="12" t="s">
        <v>0</v>
      </c>
      <c r="AO5" s="12" t="s">
        <v>0</v>
      </c>
      <c r="AP5" s="161" t="s">
        <v>299</v>
      </c>
      <c r="AQ5" s="161"/>
      <c r="AR5" s="16"/>
      <c r="AS5" s="158">
        <v>9.265865456116613</v>
      </c>
    </row>
    <row r="6" spans="1:46" ht="12.75">
      <c r="A6" s="48"/>
      <c r="B6" s="75"/>
      <c r="C6" s="76" t="s">
        <v>204</v>
      </c>
      <c r="D6" s="55">
        <v>646842.04</v>
      </c>
      <c r="E6" s="55"/>
      <c r="F6" s="82">
        <v>21.797789882766434</v>
      </c>
      <c r="G6" s="55">
        <v>17.919227795052823</v>
      </c>
      <c r="H6" s="55">
        <v>139090918.34612003</v>
      </c>
      <c r="I6" s="78">
        <v>1.8387025175419949</v>
      </c>
      <c r="J6" s="55">
        <v>14272201.048799999</v>
      </c>
      <c r="K6" s="79">
        <v>0.3181675093350457</v>
      </c>
      <c r="L6" s="55">
        <v>2469649.4496</v>
      </c>
      <c r="M6" s="79">
        <v>0.05708980139880828</v>
      </c>
      <c r="N6" s="55">
        <v>443137.00320000004</v>
      </c>
      <c r="O6" s="79">
        <v>0.03205698735969604</v>
      </c>
      <c r="P6" s="55">
        <v>248829.68520000004</v>
      </c>
      <c r="Q6" s="79">
        <v>0.925306107500372</v>
      </c>
      <c r="R6" s="55">
        <v>7182322.682399999</v>
      </c>
      <c r="S6" s="79">
        <v>0.08849040578747787</v>
      </c>
      <c r="T6" s="55">
        <v>686871.7751999999</v>
      </c>
      <c r="U6" s="79">
        <v>3.455168406648399</v>
      </c>
      <c r="V6" s="55">
        <v>26819378.1684</v>
      </c>
      <c r="W6" s="110">
        <v>4.127746551538301</v>
      </c>
      <c r="X6" s="55">
        <v>2670000</v>
      </c>
      <c r="Y6" s="78">
        <v>0.008772427654825898</v>
      </c>
      <c r="Z6" s="55">
        <v>68092.5</v>
      </c>
      <c r="AA6" s="78">
        <v>0.0022239154400044868</v>
      </c>
      <c r="AB6" s="55">
        <v>17262.264</v>
      </c>
      <c r="AC6" s="78">
        <v>5.810697049468214</v>
      </c>
      <c r="AD6" s="55">
        <v>45103237.5996</v>
      </c>
      <c r="AE6" s="78">
        <v>0.233762728223416</v>
      </c>
      <c r="AF6" s="55">
        <v>1814490.72</v>
      </c>
      <c r="AG6" s="78">
        <v>0.04536706674167313</v>
      </c>
      <c r="AH6" s="55">
        <v>352143.912</v>
      </c>
      <c r="AI6" s="110">
        <v>0.10341208960382353</v>
      </c>
      <c r="AJ6" s="55">
        <v>66891.28700000001</v>
      </c>
      <c r="AK6" s="77">
        <v>0.8990929559556767</v>
      </c>
      <c r="AL6" s="55">
        <v>6978853.461360001</v>
      </c>
      <c r="AM6" s="77">
        <v>2.6617333625687034</v>
      </c>
      <c r="AN6" s="55">
        <v>20660652.458159998</v>
      </c>
      <c r="AO6" s="17">
        <v>1.19</v>
      </c>
      <c r="AP6" s="74">
        <v>1.03</v>
      </c>
      <c r="AQ6" s="74">
        <v>0.16</v>
      </c>
      <c r="AR6" s="55">
        <v>9236904.3312</v>
      </c>
      <c r="AS6" s="109">
        <v>3.5608263185243803</v>
      </c>
      <c r="AT6" s="48">
        <v>2.66</v>
      </c>
    </row>
    <row r="7" spans="1:44" ht="12.75">
      <c r="A7" s="16"/>
      <c r="B7" s="162"/>
      <c r="C7" s="163" t="s">
        <v>2</v>
      </c>
      <c r="D7" s="164">
        <v>162656.13</v>
      </c>
      <c r="E7" s="164"/>
      <c r="F7" s="165">
        <v>17.549769064979806</v>
      </c>
      <c r="G7" s="165"/>
      <c r="H7" s="164">
        <v>34254930.222040005</v>
      </c>
      <c r="I7" s="166">
        <v>1.859423390929072</v>
      </c>
      <c r="J7" s="164">
        <v>3629359.3536</v>
      </c>
      <c r="K7" s="167">
        <v>0.31859051115995457</v>
      </c>
      <c r="L7" s="164">
        <v>621848.3952000003</v>
      </c>
      <c r="M7" s="165">
        <v>0.054633302169429444</v>
      </c>
      <c r="N7" s="164">
        <v>106637.29799999998</v>
      </c>
      <c r="O7" s="165">
        <v>0.05607080778326647</v>
      </c>
      <c r="P7" s="164">
        <v>109443.12720000003</v>
      </c>
      <c r="Q7" s="165">
        <v>0.9280139020890267</v>
      </c>
      <c r="R7" s="164">
        <v>1811365.7988</v>
      </c>
      <c r="S7" s="165">
        <v>0.08740927685910149</v>
      </c>
      <c r="T7" s="164">
        <v>170611.85640000005</v>
      </c>
      <c r="U7" s="165">
        <v>3.0499227671284213</v>
      </c>
      <c r="V7" s="164">
        <v>5953063.609200003</v>
      </c>
      <c r="W7" s="165">
        <v>4.101905043480378</v>
      </c>
      <c r="X7" s="164">
        <v>667200</v>
      </c>
      <c r="Y7" s="165">
        <v>0.008731696739618726</v>
      </c>
      <c r="Z7" s="164">
        <v>17043.167999999998</v>
      </c>
      <c r="AA7" s="164"/>
      <c r="AB7" s="164">
        <v>0</v>
      </c>
      <c r="AC7" s="165">
        <v>6.081316810500777</v>
      </c>
      <c r="AD7" s="164">
        <v>11869961.492399998</v>
      </c>
      <c r="AE7" s="165">
        <v>0</v>
      </c>
      <c r="AF7" s="164">
        <v>0</v>
      </c>
      <c r="AG7" s="167"/>
      <c r="AH7" s="164">
        <v>0</v>
      </c>
      <c r="AI7" s="165">
        <v>0.14757341761420242</v>
      </c>
      <c r="AJ7" s="164">
        <v>24003.720999999998</v>
      </c>
      <c r="AK7" s="166">
        <v>0.8995333945299202</v>
      </c>
      <c r="AL7" s="164">
        <v>1755775.44912</v>
      </c>
      <c r="AM7" s="165">
        <v>2.6620000000000004</v>
      </c>
      <c r="AN7" s="164">
        <v>5195887.416720001</v>
      </c>
      <c r="AO7" s="74"/>
      <c r="AP7" s="74"/>
      <c r="AQ7" s="74"/>
      <c r="AR7" s="164">
        <v>2322729.536400001</v>
      </c>
    </row>
    <row r="8" spans="1:44" ht="12.75">
      <c r="A8" s="6">
        <v>1</v>
      </c>
      <c r="B8" s="80">
        <v>1</v>
      </c>
      <c r="C8" s="81" t="s">
        <v>99</v>
      </c>
      <c r="D8" s="168">
        <v>3171</v>
      </c>
      <c r="E8" s="85">
        <v>-0.0016442762535469058</v>
      </c>
      <c r="F8" s="82">
        <v>17.60164427625355</v>
      </c>
      <c r="G8" s="82">
        <v>17.6</v>
      </c>
      <c r="H8" s="82">
        <v>669777.7679999999</v>
      </c>
      <c r="I8" s="5">
        <v>1.86</v>
      </c>
      <c r="J8" s="58">
        <v>70776.72</v>
      </c>
      <c r="K8" s="82">
        <v>0.32</v>
      </c>
      <c r="L8" s="58">
        <v>12176.64</v>
      </c>
      <c r="M8" s="43">
        <v>0.06</v>
      </c>
      <c r="N8" s="58">
        <v>2283.12</v>
      </c>
      <c r="O8" s="82">
        <v>0.05</v>
      </c>
      <c r="P8" s="58">
        <v>1902.6</v>
      </c>
      <c r="Q8" s="12">
        <v>0.93</v>
      </c>
      <c r="R8" s="58">
        <v>35388.36</v>
      </c>
      <c r="S8" s="82">
        <v>0.09</v>
      </c>
      <c r="T8" s="58">
        <v>3424.68</v>
      </c>
      <c r="U8" s="82">
        <v>2.61</v>
      </c>
      <c r="V8" s="58">
        <v>99315.72</v>
      </c>
      <c r="W8" s="85">
        <v>0.5676442762535477</v>
      </c>
      <c r="X8" s="58">
        <v>21600</v>
      </c>
      <c r="Y8" s="38"/>
      <c r="Z8" s="58">
        <v>0</v>
      </c>
      <c r="AA8" s="58"/>
      <c r="AB8" s="58"/>
      <c r="AC8" s="169">
        <v>6.36</v>
      </c>
      <c r="AD8" s="58">
        <v>242010.72</v>
      </c>
      <c r="AE8" s="12">
        <v>0</v>
      </c>
      <c r="AF8" s="12">
        <v>0</v>
      </c>
      <c r="AG8" s="12"/>
      <c r="AH8" s="12">
        <v>0</v>
      </c>
      <c r="AI8" s="82"/>
      <c r="AJ8" s="64">
        <v>0</v>
      </c>
      <c r="AK8" s="56">
        <v>0.902</v>
      </c>
      <c r="AL8" s="66">
        <v>34322.904</v>
      </c>
      <c r="AM8" s="56">
        <v>2.662</v>
      </c>
      <c r="AN8" s="66">
        <v>101294.424</v>
      </c>
      <c r="AO8" s="17">
        <v>1.19</v>
      </c>
      <c r="AP8" s="74">
        <v>1.03</v>
      </c>
      <c r="AQ8" s="74">
        <v>0.16</v>
      </c>
      <c r="AR8" s="74">
        <v>45281.88</v>
      </c>
    </row>
    <row r="9" spans="1:44" ht="12.75">
      <c r="A9" s="6">
        <v>2</v>
      </c>
      <c r="B9" s="80">
        <v>2</v>
      </c>
      <c r="C9" s="81" t="s">
        <v>100</v>
      </c>
      <c r="D9" s="168">
        <v>3122</v>
      </c>
      <c r="E9" s="85">
        <v>-0.00039974375400220197</v>
      </c>
      <c r="F9" s="82">
        <v>17.600399743754004</v>
      </c>
      <c r="G9" s="82">
        <v>17.6</v>
      </c>
      <c r="H9" s="82">
        <v>659381.3759999999</v>
      </c>
      <c r="I9" s="5">
        <v>1.86</v>
      </c>
      <c r="J9" s="58">
        <v>69683.04</v>
      </c>
      <c r="K9" s="82">
        <v>0.32</v>
      </c>
      <c r="L9" s="58">
        <v>11988.48</v>
      </c>
      <c r="M9" s="43">
        <v>0.06</v>
      </c>
      <c r="N9" s="58">
        <v>2247.84</v>
      </c>
      <c r="O9" s="82">
        <v>0.05</v>
      </c>
      <c r="P9" s="58">
        <v>1873.2</v>
      </c>
      <c r="Q9" s="12">
        <v>0.93</v>
      </c>
      <c r="R9" s="58">
        <v>34841.52</v>
      </c>
      <c r="S9" s="82">
        <v>0.09</v>
      </c>
      <c r="T9" s="58">
        <v>3371.76</v>
      </c>
      <c r="U9" s="82">
        <v>2.97</v>
      </c>
      <c r="V9" s="58">
        <v>111268.08</v>
      </c>
      <c r="W9" s="85">
        <v>0.41639974375400385</v>
      </c>
      <c r="X9" s="58">
        <v>15600</v>
      </c>
      <c r="Y9" s="38"/>
      <c r="Z9" s="58">
        <v>0</v>
      </c>
      <c r="AA9" s="58"/>
      <c r="AB9" s="58"/>
      <c r="AC9" s="169">
        <v>6.15</v>
      </c>
      <c r="AD9" s="58">
        <v>230403.6</v>
      </c>
      <c r="AE9" s="12">
        <v>0</v>
      </c>
      <c r="AF9" s="12">
        <v>0</v>
      </c>
      <c r="AG9" s="12"/>
      <c r="AH9" s="12">
        <v>0</v>
      </c>
      <c r="AI9" s="82"/>
      <c r="AJ9" s="64">
        <v>0</v>
      </c>
      <c r="AK9" s="56">
        <v>0.902</v>
      </c>
      <c r="AL9" s="66">
        <v>33792.528</v>
      </c>
      <c r="AM9" s="56">
        <v>2.662</v>
      </c>
      <c r="AN9" s="66">
        <v>99729.16799999999</v>
      </c>
      <c r="AO9" s="17">
        <v>1.19</v>
      </c>
      <c r="AP9" s="74">
        <v>1.03</v>
      </c>
      <c r="AQ9" s="74">
        <v>0.16</v>
      </c>
      <c r="AR9" s="74">
        <v>44582.16</v>
      </c>
    </row>
    <row r="10" spans="1:44" ht="12.75">
      <c r="A10" s="6">
        <v>3</v>
      </c>
      <c r="B10" s="80">
        <v>3</v>
      </c>
      <c r="C10" s="81" t="s">
        <v>3</v>
      </c>
      <c r="D10" s="80">
        <v>5205.1</v>
      </c>
      <c r="E10" s="85">
        <v>0.0013674280993605237</v>
      </c>
      <c r="F10" s="82">
        <v>17.59863257190064</v>
      </c>
      <c r="G10" s="82">
        <v>17.6</v>
      </c>
      <c r="H10" s="82">
        <v>1099231.7088000001</v>
      </c>
      <c r="I10" s="5">
        <v>1.86</v>
      </c>
      <c r="J10" s="58">
        <v>116177.83200000001</v>
      </c>
      <c r="K10" s="82">
        <v>0.32</v>
      </c>
      <c r="L10" s="58">
        <v>19987.584000000003</v>
      </c>
      <c r="M10" s="12">
        <v>0.05</v>
      </c>
      <c r="N10" s="58">
        <v>3123.06</v>
      </c>
      <c r="O10" s="82">
        <v>0.1</v>
      </c>
      <c r="P10" s="58">
        <v>6246.12</v>
      </c>
      <c r="Q10" s="12">
        <v>0.93</v>
      </c>
      <c r="R10" s="58">
        <v>58088.916000000005</v>
      </c>
      <c r="S10" s="82">
        <v>0.09</v>
      </c>
      <c r="T10" s="58">
        <v>5621.508</v>
      </c>
      <c r="U10" s="82">
        <v>3.02</v>
      </c>
      <c r="V10" s="58">
        <v>188632.82400000005</v>
      </c>
      <c r="W10" s="85">
        <v>0.37463257190063587</v>
      </c>
      <c r="X10" s="58">
        <v>23400</v>
      </c>
      <c r="Y10" s="38"/>
      <c r="Z10" s="58">
        <v>0</v>
      </c>
      <c r="AA10" s="58"/>
      <c r="AB10" s="58"/>
      <c r="AC10" s="169">
        <v>6.1</v>
      </c>
      <c r="AD10" s="58">
        <v>381013.32</v>
      </c>
      <c r="AE10" s="12">
        <v>0</v>
      </c>
      <c r="AF10" s="12">
        <v>0</v>
      </c>
      <c r="AG10" s="12"/>
      <c r="AH10" s="12">
        <v>0</v>
      </c>
      <c r="AI10" s="82"/>
      <c r="AJ10" s="64">
        <v>0</v>
      </c>
      <c r="AK10" s="56">
        <v>0.902</v>
      </c>
      <c r="AL10" s="66">
        <v>56340.002400000005</v>
      </c>
      <c r="AM10" s="56">
        <v>2.662</v>
      </c>
      <c r="AN10" s="66">
        <v>166271.7144</v>
      </c>
      <c r="AO10" s="17">
        <v>1.19</v>
      </c>
      <c r="AP10" s="74">
        <v>1.03</v>
      </c>
      <c r="AQ10" s="74">
        <v>0.16</v>
      </c>
      <c r="AR10" s="74">
        <v>74328.82800000001</v>
      </c>
    </row>
    <row r="11" spans="1:44" ht="12.75">
      <c r="A11" s="6">
        <v>4</v>
      </c>
      <c r="B11" s="80">
        <v>4</v>
      </c>
      <c r="C11" s="81" t="s">
        <v>4</v>
      </c>
      <c r="D11" s="80">
        <v>4769.4</v>
      </c>
      <c r="E11" s="85">
        <v>-0.003669979452343597</v>
      </c>
      <c r="F11" s="82">
        <v>17.603669979452345</v>
      </c>
      <c r="G11" s="82">
        <v>17.6</v>
      </c>
      <c r="H11" s="82">
        <v>1007507.3231999999</v>
      </c>
      <c r="I11" s="5">
        <v>1.86</v>
      </c>
      <c r="J11" s="58">
        <v>106453.00799999999</v>
      </c>
      <c r="K11" s="82">
        <v>0.32</v>
      </c>
      <c r="L11" s="58">
        <v>18314.496</v>
      </c>
      <c r="M11" s="12">
        <v>0.05</v>
      </c>
      <c r="N11" s="58">
        <v>2861.64</v>
      </c>
      <c r="O11" s="82">
        <v>0.05</v>
      </c>
      <c r="P11" s="58">
        <v>2861.64</v>
      </c>
      <c r="Q11" s="12">
        <v>0.93</v>
      </c>
      <c r="R11" s="58">
        <v>53226.50399999999</v>
      </c>
      <c r="S11" s="82">
        <v>0.09</v>
      </c>
      <c r="T11" s="58">
        <v>5150.951999999999</v>
      </c>
      <c r="U11" s="82">
        <v>3.1</v>
      </c>
      <c r="V11" s="58">
        <v>177421.68</v>
      </c>
      <c r="W11" s="85">
        <v>0.20966997945234203</v>
      </c>
      <c r="X11" s="58">
        <v>12000</v>
      </c>
      <c r="Y11" s="38"/>
      <c r="Z11" s="58">
        <v>0</v>
      </c>
      <c r="AA11" s="58"/>
      <c r="AB11" s="58"/>
      <c r="AC11" s="169">
        <v>6.24</v>
      </c>
      <c r="AD11" s="58">
        <v>357132.672</v>
      </c>
      <c r="AE11" s="12">
        <v>0</v>
      </c>
      <c r="AF11" s="12">
        <v>0</v>
      </c>
      <c r="AG11" s="12"/>
      <c r="AH11" s="12">
        <v>0</v>
      </c>
      <c r="AI11" s="82"/>
      <c r="AJ11" s="64">
        <v>0</v>
      </c>
      <c r="AK11" s="56">
        <v>0.902</v>
      </c>
      <c r="AL11" s="66">
        <v>51623.98559999999</v>
      </c>
      <c r="AM11" s="56">
        <v>2.662</v>
      </c>
      <c r="AN11" s="66">
        <v>152353.71359999996</v>
      </c>
      <c r="AO11" s="17">
        <v>1.19</v>
      </c>
      <c r="AP11" s="74">
        <v>1.03</v>
      </c>
      <c r="AQ11" s="74">
        <v>0.16</v>
      </c>
      <c r="AR11" s="74">
        <v>68107.03199999999</v>
      </c>
    </row>
    <row r="12" spans="1:44" ht="12.75">
      <c r="A12" s="6">
        <v>5</v>
      </c>
      <c r="B12" s="80">
        <v>5</v>
      </c>
      <c r="C12" s="81" t="s">
        <v>5</v>
      </c>
      <c r="D12" s="80">
        <v>3529.3</v>
      </c>
      <c r="E12" s="85">
        <v>-0.002344997591592346</v>
      </c>
      <c r="F12" s="82">
        <v>17.602344997591594</v>
      </c>
      <c r="G12" s="82">
        <v>17.6</v>
      </c>
      <c r="H12" s="82">
        <v>745487.4744000002</v>
      </c>
      <c r="I12" s="5">
        <v>1.86</v>
      </c>
      <c r="J12" s="58">
        <v>78773.97600000001</v>
      </c>
      <c r="K12" s="82">
        <v>0.32</v>
      </c>
      <c r="L12" s="58">
        <v>13552.511999999999</v>
      </c>
      <c r="M12" s="12">
        <v>0.06</v>
      </c>
      <c r="N12" s="58">
        <v>2541.096</v>
      </c>
      <c r="O12" s="82">
        <v>0.05</v>
      </c>
      <c r="P12" s="58">
        <v>2117.58</v>
      </c>
      <c r="Q12" s="12">
        <v>0.93</v>
      </c>
      <c r="R12" s="58">
        <v>39386.988000000005</v>
      </c>
      <c r="S12" s="82">
        <v>0.09</v>
      </c>
      <c r="T12" s="58">
        <v>3811.6440000000002</v>
      </c>
      <c r="U12" s="82">
        <v>2.85</v>
      </c>
      <c r="V12" s="58">
        <v>120702.06</v>
      </c>
      <c r="W12" s="85">
        <v>0.3683449975915904</v>
      </c>
      <c r="X12" s="58">
        <v>15600</v>
      </c>
      <c r="Y12" s="38"/>
      <c r="Z12" s="58">
        <v>0</v>
      </c>
      <c r="AA12" s="58"/>
      <c r="AB12" s="58"/>
      <c r="AC12" s="169">
        <v>6.32</v>
      </c>
      <c r="AD12" s="58">
        <v>267662.112</v>
      </c>
      <c r="AE12" s="12">
        <v>0</v>
      </c>
      <c r="AF12" s="12">
        <v>0</v>
      </c>
      <c r="AG12" s="12"/>
      <c r="AH12" s="12">
        <v>0</v>
      </c>
      <c r="AI12" s="82"/>
      <c r="AJ12" s="64">
        <v>0</v>
      </c>
      <c r="AK12" s="56">
        <v>0.902</v>
      </c>
      <c r="AL12" s="66">
        <v>38201.143200000006</v>
      </c>
      <c r="AM12" s="56">
        <v>2.662</v>
      </c>
      <c r="AN12" s="66">
        <v>112739.95920000001</v>
      </c>
      <c r="AO12" s="17">
        <v>1.19</v>
      </c>
      <c r="AP12" s="74">
        <v>1.03</v>
      </c>
      <c r="AQ12" s="74">
        <v>0.16</v>
      </c>
      <c r="AR12" s="74">
        <v>50398.404</v>
      </c>
    </row>
    <row r="13" spans="1:44" ht="12.75">
      <c r="A13" s="6">
        <v>6</v>
      </c>
      <c r="B13" s="80">
        <v>6</v>
      </c>
      <c r="C13" s="81" t="s">
        <v>6</v>
      </c>
      <c r="D13" s="80">
        <v>2617.4</v>
      </c>
      <c r="E13" s="85">
        <v>-0.0006760907771052871</v>
      </c>
      <c r="F13" s="82">
        <v>17.600676090777107</v>
      </c>
      <c r="G13" s="82">
        <v>17.6</v>
      </c>
      <c r="H13" s="82">
        <v>552816.1152</v>
      </c>
      <c r="I13" s="5">
        <v>1.86</v>
      </c>
      <c r="J13" s="58">
        <v>58420.368</v>
      </c>
      <c r="K13" s="82">
        <v>0.32</v>
      </c>
      <c r="L13" s="58">
        <v>10050.816</v>
      </c>
      <c r="M13" s="12">
        <v>0.05</v>
      </c>
      <c r="N13" s="58">
        <v>1570.44</v>
      </c>
      <c r="O13" s="82">
        <v>0.11</v>
      </c>
      <c r="P13" s="58">
        <v>3454.968</v>
      </c>
      <c r="Q13" s="12">
        <v>0.93</v>
      </c>
      <c r="R13" s="58">
        <v>29210.184</v>
      </c>
      <c r="S13" s="82">
        <v>0.09</v>
      </c>
      <c r="T13" s="58">
        <v>2826.792</v>
      </c>
      <c r="U13" s="82">
        <v>2.78</v>
      </c>
      <c r="V13" s="58">
        <v>87316.46399999999</v>
      </c>
      <c r="W13" s="85">
        <v>0.49667609077710706</v>
      </c>
      <c r="X13" s="58">
        <v>15600</v>
      </c>
      <c r="Y13" s="38"/>
      <c r="Z13" s="58">
        <v>0</v>
      </c>
      <c r="AA13" s="58"/>
      <c r="AB13" s="58"/>
      <c r="AC13" s="169">
        <v>6.21</v>
      </c>
      <c r="AD13" s="58">
        <v>195048.648</v>
      </c>
      <c r="AE13" s="12">
        <v>0</v>
      </c>
      <c r="AF13" s="12">
        <v>0</v>
      </c>
      <c r="AG13" s="12"/>
      <c r="AH13" s="12">
        <v>0</v>
      </c>
      <c r="AI13" s="82"/>
      <c r="AJ13" s="64">
        <v>0</v>
      </c>
      <c r="AK13" s="56">
        <v>0.902</v>
      </c>
      <c r="AL13" s="66">
        <v>28330.7376</v>
      </c>
      <c r="AM13" s="56">
        <v>2.662</v>
      </c>
      <c r="AN13" s="66">
        <v>83610.2256</v>
      </c>
      <c r="AO13" s="17">
        <v>1.19</v>
      </c>
      <c r="AP13" s="74">
        <v>1.03</v>
      </c>
      <c r="AQ13" s="74">
        <v>0.16</v>
      </c>
      <c r="AR13" s="74">
        <v>37376.472</v>
      </c>
    </row>
    <row r="14" spans="1:44" ht="12.75">
      <c r="A14" s="6">
        <v>7</v>
      </c>
      <c r="B14" s="80">
        <v>7</v>
      </c>
      <c r="C14" s="81" t="s">
        <v>7</v>
      </c>
      <c r="D14" s="168">
        <v>6336.1</v>
      </c>
      <c r="E14" s="85">
        <v>0.0019135745963616557</v>
      </c>
      <c r="F14" s="82">
        <v>17.59808642540364</v>
      </c>
      <c r="G14" s="82">
        <v>17.6</v>
      </c>
      <c r="H14" s="82">
        <v>1338038.8247999998</v>
      </c>
      <c r="I14" s="5">
        <v>1.86</v>
      </c>
      <c r="J14" s="58">
        <v>141421.752</v>
      </c>
      <c r="K14" s="82">
        <v>0.32</v>
      </c>
      <c r="L14" s="58">
        <v>24330.624000000003</v>
      </c>
      <c r="M14" s="12">
        <v>0.05</v>
      </c>
      <c r="N14" s="58">
        <v>3801.66</v>
      </c>
      <c r="O14" s="82">
        <v>0.04</v>
      </c>
      <c r="P14" s="58">
        <v>3041.3280000000004</v>
      </c>
      <c r="Q14" s="12">
        <v>0.93</v>
      </c>
      <c r="R14" s="58">
        <v>70710.876</v>
      </c>
      <c r="S14" s="82">
        <v>0.09</v>
      </c>
      <c r="T14" s="58">
        <v>6842.988</v>
      </c>
      <c r="U14" s="82">
        <v>2.57</v>
      </c>
      <c r="V14" s="58">
        <v>195405.324</v>
      </c>
      <c r="W14" s="85">
        <v>0.28408642540363943</v>
      </c>
      <c r="X14" s="58">
        <v>21600</v>
      </c>
      <c r="Y14" s="38"/>
      <c r="Z14" s="58">
        <v>0</v>
      </c>
      <c r="AA14" s="58"/>
      <c r="AB14" s="58"/>
      <c r="AC14" s="169">
        <v>6.7</v>
      </c>
      <c r="AD14" s="58">
        <v>509422.44</v>
      </c>
      <c r="AE14" s="12">
        <v>0</v>
      </c>
      <c r="AF14" s="12">
        <v>0</v>
      </c>
      <c r="AG14" s="12"/>
      <c r="AH14" s="12">
        <v>0</v>
      </c>
      <c r="AI14" s="82"/>
      <c r="AJ14" s="64">
        <v>0</v>
      </c>
      <c r="AK14" s="56">
        <v>0.902</v>
      </c>
      <c r="AL14" s="66">
        <v>68581.94640000002</v>
      </c>
      <c r="AM14" s="56">
        <v>2.662</v>
      </c>
      <c r="AN14" s="66">
        <v>202400.3784</v>
      </c>
      <c r="AO14" s="17">
        <v>1.19</v>
      </c>
      <c r="AP14" s="74">
        <v>1.03</v>
      </c>
      <c r="AQ14" s="74">
        <v>0.16</v>
      </c>
      <c r="AR14" s="74">
        <v>90479.508</v>
      </c>
    </row>
    <row r="15" spans="1:44" ht="12.75">
      <c r="A15" s="6">
        <v>8</v>
      </c>
      <c r="B15" s="80">
        <v>8</v>
      </c>
      <c r="C15" s="81" t="s">
        <v>8</v>
      </c>
      <c r="D15" s="80">
        <v>2266.4</v>
      </c>
      <c r="E15" s="85">
        <v>0.002403106247797382</v>
      </c>
      <c r="F15" s="82">
        <v>17.597596893752204</v>
      </c>
      <c r="G15" s="82">
        <v>17.6</v>
      </c>
      <c r="H15" s="82">
        <v>478598.32320000004</v>
      </c>
      <c r="I15" s="5">
        <v>1.86</v>
      </c>
      <c r="J15" s="58">
        <v>50586.04800000001</v>
      </c>
      <c r="K15" s="82">
        <v>0.32</v>
      </c>
      <c r="L15" s="58">
        <v>8702.976</v>
      </c>
      <c r="M15" s="12">
        <v>0.05</v>
      </c>
      <c r="N15" s="58">
        <v>1359.84</v>
      </c>
      <c r="O15" s="82">
        <v>0.01</v>
      </c>
      <c r="P15" s="58">
        <v>271.968</v>
      </c>
      <c r="Q15" s="12">
        <v>0.93</v>
      </c>
      <c r="R15" s="58">
        <v>25293.024000000005</v>
      </c>
      <c r="S15" s="82">
        <v>0.09</v>
      </c>
      <c r="T15" s="58">
        <v>2447.712</v>
      </c>
      <c r="U15" s="82">
        <v>2.83</v>
      </c>
      <c r="V15" s="58">
        <v>76966.944</v>
      </c>
      <c r="W15" s="85">
        <v>0.5735968937522061</v>
      </c>
      <c r="X15" s="58">
        <v>15600</v>
      </c>
      <c r="Y15" s="38"/>
      <c r="Z15" s="58">
        <v>0</v>
      </c>
      <c r="AA15" s="58"/>
      <c r="AB15" s="58"/>
      <c r="AC15" s="169">
        <v>6.18</v>
      </c>
      <c r="AD15" s="58">
        <v>168076.22400000002</v>
      </c>
      <c r="AE15" s="12">
        <v>0</v>
      </c>
      <c r="AF15" s="12">
        <v>0</v>
      </c>
      <c r="AG15" s="12"/>
      <c r="AH15" s="12">
        <v>0</v>
      </c>
      <c r="AI15" s="82"/>
      <c r="AJ15" s="64">
        <v>0</v>
      </c>
      <c r="AK15" s="56">
        <v>0.902</v>
      </c>
      <c r="AL15" s="66">
        <v>24531.513600000002</v>
      </c>
      <c r="AM15" s="56">
        <v>2.662</v>
      </c>
      <c r="AN15" s="66">
        <v>72397.8816</v>
      </c>
      <c r="AO15" s="17">
        <v>1.19</v>
      </c>
      <c r="AP15" s="74">
        <v>1.03</v>
      </c>
      <c r="AQ15" s="74">
        <v>0.16</v>
      </c>
      <c r="AR15" s="74">
        <v>32364.192000000003</v>
      </c>
    </row>
    <row r="16" spans="1:44" ht="12.75">
      <c r="A16" s="6">
        <v>9</v>
      </c>
      <c r="B16" s="80">
        <v>9</v>
      </c>
      <c r="C16" s="81" t="s">
        <v>9</v>
      </c>
      <c r="D16" s="80">
        <v>3372.26</v>
      </c>
      <c r="E16" s="85">
        <v>-0.0005370404417206487</v>
      </c>
      <c r="F16" s="82">
        <v>17.600537040441722</v>
      </c>
      <c r="G16" s="82">
        <v>17.6</v>
      </c>
      <c r="H16" s="82">
        <v>712243.04448</v>
      </c>
      <c r="I16" s="5">
        <v>1.86</v>
      </c>
      <c r="J16" s="58">
        <v>75268.8432</v>
      </c>
      <c r="K16" s="82">
        <v>0.32</v>
      </c>
      <c r="L16" s="58">
        <v>12949.4784</v>
      </c>
      <c r="M16" s="12">
        <v>0.05</v>
      </c>
      <c r="N16" s="58">
        <v>2023.3560000000002</v>
      </c>
      <c r="O16" s="82">
        <v>0.01</v>
      </c>
      <c r="P16" s="58">
        <v>404.6712</v>
      </c>
      <c r="Q16" s="12">
        <v>0.93</v>
      </c>
      <c r="R16" s="58">
        <v>37634.4216</v>
      </c>
      <c r="S16" s="82">
        <v>0.09</v>
      </c>
      <c r="T16" s="58">
        <v>3642.0407999999998</v>
      </c>
      <c r="U16" s="82">
        <v>2.88</v>
      </c>
      <c r="V16" s="58">
        <v>116545.30560000002</v>
      </c>
      <c r="W16" s="85">
        <v>0.2965370404417215</v>
      </c>
      <c r="X16" s="58">
        <v>12000</v>
      </c>
      <c r="Y16" s="38"/>
      <c r="Z16" s="58">
        <v>0</v>
      </c>
      <c r="AA16" s="58"/>
      <c r="AB16" s="58"/>
      <c r="AC16" s="169">
        <v>6.41</v>
      </c>
      <c r="AD16" s="58">
        <v>259394.23920000007</v>
      </c>
      <c r="AE16" s="12">
        <v>0</v>
      </c>
      <c r="AF16" s="12">
        <v>0</v>
      </c>
      <c r="AG16" s="12"/>
      <c r="AH16" s="12">
        <v>0</v>
      </c>
      <c r="AI16" s="82"/>
      <c r="AJ16" s="64">
        <v>0</v>
      </c>
      <c r="AK16" s="56">
        <v>0.902</v>
      </c>
      <c r="AL16" s="66">
        <v>36501.342240000005</v>
      </c>
      <c r="AM16" s="56">
        <v>2.662</v>
      </c>
      <c r="AN16" s="66">
        <v>107723.47344</v>
      </c>
      <c r="AO16" s="17">
        <v>1.19</v>
      </c>
      <c r="AP16" s="74">
        <v>1.03</v>
      </c>
      <c r="AQ16" s="74">
        <v>0.16</v>
      </c>
      <c r="AR16" s="74">
        <v>48155.8728</v>
      </c>
    </row>
    <row r="17" spans="1:44" ht="12.75">
      <c r="A17" s="6">
        <v>10</v>
      </c>
      <c r="B17" s="80">
        <v>10</v>
      </c>
      <c r="C17" s="81" t="s">
        <v>10</v>
      </c>
      <c r="D17" s="80">
        <v>5245.9</v>
      </c>
      <c r="E17" s="85">
        <v>-0.0018125774414308182</v>
      </c>
      <c r="F17" s="82">
        <v>17.601812577441432</v>
      </c>
      <c r="G17" s="82">
        <v>17.6</v>
      </c>
      <c r="H17" s="82">
        <v>1108048.1831999999</v>
      </c>
      <c r="I17" s="5">
        <v>1.86</v>
      </c>
      <c r="J17" s="58">
        <v>117088.488</v>
      </c>
      <c r="K17" s="82">
        <v>0.32</v>
      </c>
      <c r="L17" s="58">
        <v>20144.255999999998</v>
      </c>
      <c r="M17" s="12">
        <v>0.05</v>
      </c>
      <c r="N17" s="58">
        <v>3147.54</v>
      </c>
      <c r="O17" s="82">
        <v>0.14</v>
      </c>
      <c r="P17" s="58">
        <v>8813.112000000001</v>
      </c>
      <c r="Q17" s="12">
        <v>0.93</v>
      </c>
      <c r="R17" s="58">
        <v>58544.244</v>
      </c>
      <c r="S17" s="82">
        <v>0.09</v>
      </c>
      <c r="T17" s="58">
        <v>5665.572</v>
      </c>
      <c r="U17" s="82">
        <v>3.19</v>
      </c>
      <c r="V17" s="58">
        <v>200813.05199999997</v>
      </c>
      <c r="W17" s="85">
        <v>0.24781257744143048</v>
      </c>
      <c r="X17" s="58">
        <v>15600</v>
      </c>
      <c r="Y17" s="38"/>
      <c r="Z17" s="58">
        <v>0</v>
      </c>
      <c r="AA17" s="58"/>
      <c r="AB17" s="58"/>
      <c r="AC17" s="169">
        <v>6.02</v>
      </c>
      <c r="AD17" s="58">
        <v>378963.816</v>
      </c>
      <c r="AE17" s="12">
        <v>0</v>
      </c>
      <c r="AF17" s="12">
        <v>0</v>
      </c>
      <c r="AG17" s="12"/>
      <c r="AH17" s="12">
        <v>0</v>
      </c>
      <c r="AI17" s="82"/>
      <c r="AJ17" s="64">
        <v>0</v>
      </c>
      <c r="AK17" s="56">
        <v>0.902</v>
      </c>
      <c r="AL17" s="66">
        <v>56781.6216</v>
      </c>
      <c r="AM17" s="56">
        <v>2.662</v>
      </c>
      <c r="AN17" s="66">
        <v>167575.02959999998</v>
      </c>
      <c r="AO17" s="17">
        <v>1.19</v>
      </c>
      <c r="AP17" s="74">
        <v>1.03</v>
      </c>
      <c r="AQ17" s="74">
        <v>0.16</v>
      </c>
      <c r="AR17" s="74">
        <v>74911.45199999999</v>
      </c>
    </row>
    <row r="18" spans="1:44" ht="12.75">
      <c r="A18" s="6">
        <v>11</v>
      </c>
      <c r="B18" s="80">
        <v>11</v>
      </c>
      <c r="C18" s="81" t="s">
        <v>11</v>
      </c>
      <c r="D18" s="80">
        <v>2679.5</v>
      </c>
      <c r="E18" s="85">
        <v>0.002796044038063883</v>
      </c>
      <c r="F18" s="82">
        <v>17.597203955961938</v>
      </c>
      <c r="G18" s="82">
        <v>17.6</v>
      </c>
      <c r="H18" s="82">
        <v>565820.496</v>
      </c>
      <c r="I18" s="5">
        <v>1.86</v>
      </c>
      <c r="J18" s="58">
        <v>59806.44</v>
      </c>
      <c r="K18" s="82">
        <v>0.32</v>
      </c>
      <c r="L18" s="58">
        <v>10289.28</v>
      </c>
      <c r="M18" s="12">
        <v>0.05</v>
      </c>
      <c r="N18" s="58">
        <v>1607.7</v>
      </c>
      <c r="O18" s="82">
        <v>0.04</v>
      </c>
      <c r="P18" s="58">
        <v>1286.16</v>
      </c>
      <c r="Q18" s="12">
        <v>0.93</v>
      </c>
      <c r="R18" s="58">
        <v>29903.22</v>
      </c>
      <c r="S18" s="82">
        <v>0.09</v>
      </c>
      <c r="T18" s="58">
        <v>2893.86</v>
      </c>
      <c r="U18" s="82">
        <v>3.02</v>
      </c>
      <c r="V18" s="58">
        <v>97105.08</v>
      </c>
      <c r="W18" s="85">
        <v>0.3732039559619332</v>
      </c>
      <c r="X18" s="58">
        <v>12000</v>
      </c>
      <c r="Y18" s="38"/>
      <c r="Z18" s="58">
        <v>0</v>
      </c>
      <c r="AA18" s="58"/>
      <c r="AB18" s="58"/>
      <c r="AC18" s="169">
        <v>6.16</v>
      </c>
      <c r="AD18" s="58">
        <v>198068.64</v>
      </c>
      <c r="AE18" s="12">
        <v>0</v>
      </c>
      <c r="AF18" s="12">
        <v>0</v>
      </c>
      <c r="AG18" s="12"/>
      <c r="AH18" s="12">
        <v>0</v>
      </c>
      <c r="AI18" s="82"/>
      <c r="AJ18" s="64">
        <v>0</v>
      </c>
      <c r="AK18" s="56">
        <v>0.902</v>
      </c>
      <c r="AL18" s="66">
        <v>29002.908000000003</v>
      </c>
      <c r="AM18" s="56">
        <v>2.662</v>
      </c>
      <c r="AN18" s="66">
        <v>85593.948</v>
      </c>
      <c r="AO18" s="17">
        <v>1.19</v>
      </c>
      <c r="AP18" s="74">
        <v>1.03</v>
      </c>
      <c r="AQ18" s="74">
        <v>0.16</v>
      </c>
      <c r="AR18" s="74">
        <v>38263.26</v>
      </c>
    </row>
    <row r="19" spans="1:44" ht="12.75">
      <c r="A19" s="6">
        <v>12</v>
      </c>
      <c r="B19" s="80">
        <v>12</v>
      </c>
      <c r="C19" s="81" t="s">
        <v>12</v>
      </c>
      <c r="D19" s="80">
        <v>4911.8</v>
      </c>
      <c r="E19" s="85">
        <v>0.002408648560606963</v>
      </c>
      <c r="F19" s="82">
        <v>17.597591351439394</v>
      </c>
      <c r="G19" s="82">
        <v>17.6</v>
      </c>
      <c r="H19" s="82">
        <v>1037230.1904</v>
      </c>
      <c r="I19" s="5">
        <v>1.86</v>
      </c>
      <c r="J19" s="58">
        <v>109631.376</v>
      </c>
      <c r="K19" s="82">
        <v>0.32</v>
      </c>
      <c r="L19" s="58">
        <v>18861.312</v>
      </c>
      <c r="M19" s="12">
        <v>0.06</v>
      </c>
      <c r="N19" s="58">
        <v>3536.496</v>
      </c>
      <c r="O19" s="82">
        <v>0.1</v>
      </c>
      <c r="P19" s="58">
        <v>5894.16</v>
      </c>
      <c r="Q19" s="12">
        <v>0.93</v>
      </c>
      <c r="R19" s="58">
        <v>54815.688</v>
      </c>
      <c r="S19" s="82">
        <v>0.09</v>
      </c>
      <c r="T19" s="58">
        <v>5304.744000000001</v>
      </c>
      <c r="U19" s="82">
        <v>3.16</v>
      </c>
      <c r="V19" s="58">
        <v>186255.456</v>
      </c>
      <c r="W19" s="85">
        <v>0.20359135143939086</v>
      </c>
      <c r="X19" s="58">
        <v>12000</v>
      </c>
      <c r="Y19" s="38"/>
      <c r="Z19" s="58">
        <v>0</v>
      </c>
      <c r="AA19" s="58"/>
      <c r="AB19" s="58"/>
      <c r="AC19" s="169">
        <v>6.12</v>
      </c>
      <c r="AD19" s="58">
        <v>360722.592</v>
      </c>
      <c r="AE19" s="12">
        <v>0</v>
      </c>
      <c r="AF19" s="12">
        <v>0</v>
      </c>
      <c r="AG19" s="12"/>
      <c r="AH19" s="12">
        <v>0</v>
      </c>
      <c r="AI19" s="82"/>
      <c r="AJ19" s="64">
        <v>0</v>
      </c>
      <c r="AK19" s="56">
        <v>0.902</v>
      </c>
      <c r="AL19" s="66">
        <v>53165.323200000006</v>
      </c>
      <c r="AM19" s="56">
        <v>2.662</v>
      </c>
      <c r="AN19" s="66">
        <v>156902.5392</v>
      </c>
      <c r="AO19" s="17">
        <v>1.19</v>
      </c>
      <c r="AP19" s="74">
        <v>1.03</v>
      </c>
      <c r="AQ19" s="74">
        <v>0.16</v>
      </c>
      <c r="AR19" s="74">
        <v>70140.504</v>
      </c>
    </row>
    <row r="20" spans="1:44" ht="12.75">
      <c r="A20" s="6">
        <v>13</v>
      </c>
      <c r="B20" s="80">
        <v>13</v>
      </c>
      <c r="C20" s="81" t="s">
        <v>13</v>
      </c>
      <c r="D20" s="80">
        <v>2667.6</v>
      </c>
      <c r="E20" s="85">
        <v>0.0011312040785718125</v>
      </c>
      <c r="F20" s="82">
        <v>17.59886879592143</v>
      </c>
      <c r="G20" s="82">
        <v>17.6</v>
      </c>
      <c r="H20" s="82">
        <v>563360.9087999999</v>
      </c>
      <c r="I20" s="5">
        <v>1.86</v>
      </c>
      <c r="J20" s="58">
        <v>59540.831999999995</v>
      </c>
      <c r="K20" s="82">
        <v>0.32</v>
      </c>
      <c r="L20" s="58">
        <v>10243.583999999999</v>
      </c>
      <c r="M20" s="12">
        <v>0.05</v>
      </c>
      <c r="N20" s="58">
        <v>1600.56</v>
      </c>
      <c r="O20" s="82">
        <v>0.1</v>
      </c>
      <c r="P20" s="58">
        <v>3201.12</v>
      </c>
      <c r="Q20" s="12">
        <v>0.93</v>
      </c>
      <c r="R20" s="58">
        <v>29770.415999999997</v>
      </c>
      <c r="S20" s="82">
        <v>0.09</v>
      </c>
      <c r="T20" s="58">
        <v>2881.008</v>
      </c>
      <c r="U20" s="82">
        <v>3.02</v>
      </c>
      <c r="V20" s="58">
        <v>96673.82400000001</v>
      </c>
      <c r="W20" s="85">
        <v>0.37486879592142747</v>
      </c>
      <c r="X20" s="58">
        <v>12000</v>
      </c>
      <c r="Y20" s="38"/>
      <c r="Z20" s="58">
        <v>0</v>
      </c>
      <c r="AA20" s="58"/>
      <c r="AB20" s="58"/>
      <c r="AC20" s="169">
        <v>6.1</v>
      </c>
      <c r="AD20" s="58">
        <v>195268.32</v>
      </c>
      <c r="AE20" s="12">
        <v>0</v>
      </c>
      <c r="AF20" s="12">
        <v>0</v>
      </c>
      <c r="AG20" s="12"/>
      <c r="AH20" s="12">
        <v>0</v>
      </c>
      <c r="AI20" s="82"/>
      <c r="AJ20" s="64">
        <v>0</v>
      </c>
      <c r="AK20" s="56">
        <v>0.902</v>
      </c>
      <c r="AL20" s="66">
        <v>28874.102400000003</v>
      </c>
      <c r="AM20" s="56">
        <v>2.662</v>
      </c>
      <c r="AN20" s="66">
        <v>85213.81439999999</v>
      </c>
      <c r="AO20" s="17">
        <v>1.19</v>
      </c>
      <c r="AP20" s="74">
        <v>1.03</v>
      </c>
      <c r="AQ20" s="74">
        <v>0.16</v>
      </c>
      <c r="AR20" s="74">
        <v>38093.328</v>
      </c>
    </row>
    <row r="21" spans="1:44" ht="12.75">
      <c r="A21" s="6">
        <v>14</v>
      </c>
      <c r="B21" s="80">
        <v>14</v>
      </c>
      <c r="C21" s="81" t="s">
        <v>14</v>
      </c>
      <c r="D21" s="80">
        <v>2631.6</v>
      </c>
      <c r="E21" s="85">
        <v>-0.003996960024320373</v>
      </c>
      <c r="F21" s="82">
        <v>17.603996960024322</v>
      </c>
      <c r="G21" s="82">
        <v>17.6</v>
      </c>
      <c r="H21" s="82">
        <v>555920.1408</v>
      </c>
      <c r="I21" s="5">
        <v>1.86</v>
      </c>
      <c r="J21" s="58">
        <v>58737.312</v>
      </c>
      <c r="K21" s="82">
        <v>0.32</v>
      </c>
      <c r="L21" s="58">
        <v>10105.344</v>
      </c>
      <c r="M21" s="12">
        <v>0.05</v>
      </c>
      <c r="N21" s="58">
        <v>1578.96</v>
      </c>
      <c r="O21" s="82">
        <v>0.1</v>
      </c>
      <c r="P21" s="58">
        <v>3157.92</v>
      </c>
      <c r="Q21" s="12">
        <v>0.93</v>
      </c>
      <c r="R21" s="58">
        <v>29368.656</v>
      </c>
      <c r="S21" s="82">
        <v>0.09</v>
      </c>
      <c r="T21" s="58">
        <v>2842.1279999999997</v>
      </c>
      <c r="U21" s="82">
        <v>2.92</v>
      </c>
      <c r="V21" s="58">
        <v>92211.26400000001</v>
      </c>
      <c r="W21" s="85">
        <v>0.3799969600243198</v>
      </c>
      <c r="X21" s="58">
        <v>12000</v>
      </c>
      <c r="Y21" s="38"/>
      <c r="Z21" s="58">
        <v>0</v>
      </c>
      <c r="AA21" s="58"/>
      <c r="AB21" s="58"/>
      <c r="AC21" s="169">
        <v>6.2</v>
      </c>
      <c r="AD21" s="58">
        <v>195791.04</v>
      </c>
      <c r="AE21" s="12">
        <v>0</v>
      </c>
      <c r="AF21" s="12">
        <v>0</v>
      </c>
      <c r="AG21" s="12"/>
      <c r="AH21" s="12">
        <v>0</v>
      </c>
      <c r="AI21" s="82"/>
      <c r="AJ21" s="64">
        <v>0</v>
      </c>
      <c r="AK21" s="56">
        <v>0.902</v>
      </c>
      <c r="AL21" s="66">
        <v>28484.4384</v>
      </c>
      <c r="AM21" s="56">
        <v>2.662</v>
      </c>
      <c r="AN21" s="66">
        <v>84063.8304</v>
      </c>
      <c r="AO21" s="17">
        <v>1.19</v>
      </c>
      <c r="AP21" s="74">
        <v>1.03</v>
      </c>
      <c r="AQ21" s="74">
        <v>0.16</v>
      </c>
      <c r="AR21" s="74">
        <v>37579.248</v>
      </c>
    </row>
    <row r="22" spans="1:44" ht="12.75">
      <c r="A22" s="6">
        <v>15</v>
      </c>
      <c r="B22" s="80">
        <v>15</v>
      </c>
      <c r="C22" s="81" t="s">
        <v>117</v>
      </c>
      <c r="D22" s="80">
        <v>2154.4</v>
      </c>
      <c r="E22" s="85">
        <v>0.0018336427775729192</v>
      </c>
      <c r="F22" s="82">
        <v>17.59816635722243</v>
      </c>
      <c r="G22" s="82">
        <v>17.6</v>
      </c>
      <c r="H22" s="82">
        <v>454961.8752</v>
      </c>
      <c r="I22" s="5">
        <v>1.86</v>
      </c>
      <c r="J22" s="58">
        <v>48086.208</v>
      </c>
      <c r="K22" s="82">
        <v>0.32</v>
      </c>
      <c r="L22" s="58">
        <v>8272.896</v>
      </c>
      <c r="M22" s="43">
        <v>0.06</v>
      </c>
      <c r="N22" s="58">
        <v>1551.1680000000001</v>
      </c>
      <c r="O22" s="82"/>
      <c r="P22" s="58">
        <v>0</v>
      </c>
      <c r="Q22" s="12">
        <v>0.93</v>
      </c>
      <c r="R22" s="58">
        <v>24043.104</v>
      </c>
      <c r="S22" s="82">
        <v>0.09</v>
      </c>
      <c r="T22" s="58">
        <v>2326.7520000000004</v>
      </c>
      <c r="U22" s="82">
        <v>2.07</v>
      </c>
      <c r="V22" s="58">
        <v>53515.29600000002</v>
      </c>
      <c r="W22" s="85">
        <v>0.46416635722242855</v>
      </c>
      <c r="X22" s="58">
        <v>12000</v>
      </c>
      <c r="Y22" s="38"/>
      <c r="Z22" s="58">
        <v>0</v>
      </c>
      <c r="AA22" s="58"/>
      <c r="AB22" s="58"/>
      <c r="AC22" s="169">
        <v>7.05</v>
      </c>
      <c r="AD22" s="58">
        <v>182262.24</v>
      </c>
      <c r="AE22" s="12">
        <v>0</v>
      </c>
      <c r="AF22" s="12">
        <v>0</v>
      </c>
      <c r="AG22" s="12"/>
      <c r="AH22" s="12">
        <v>0</v>
      </c>
      <c r="AI22" s="82"/>
      <c r="AJ22" s="64">
        <v>0</v>
      </c>
      <c r="AK22" s="56">
        <v>0.902</v>
      </c>
      <c r="AL22" s="66">
        <v>23319.2256</v>
      </c>
      <c r="AM22" s="56">
        <v>2.662</v>
      </c>
      <c r="AN22" s="66">
        <v>68820.1536</v>
      </c>
      <c r="AO22" s="17">
        <v>1.19</v>
      </c>
      <c r="AP22" s="74">
        <v>1.03</v>
      </c>
      <c r="AQ22" s="74">
        <v>0.16</v>
      </c>
      <c r="AR22" s="74">
        <v>30764.832</v>
      </c>
    </row>
    <row r="23" spans="1:44" ht="12.75">
      <c r="A23" s="6">
        <v>16</v>
      </c>
      <c r="B23" s="80">
        <v>16</v>
      </c>
      <c r="C23" s="81" t="s">
        <v>15</v>
      </c>
      <c r="D23" s="80">
        <v>4480.6</v>
      </c>
      <c r="E23" s="85">
        <v>-0.0041397134312397554</v>
      </c>
      <c r="F23" s="82">
        <v>17.60413971343124</v>
      </c>
      <c r="G23" s="82">
        <v>17.6</v>
      </c>
      <c r="H23" s="82">
        <v>946525.3008000001</v>
      </c>
      <c r="I23" s="5">
        <v>1.86</v>
      </c>
      <c r="J23" s="58">
        <v>100006.99200000001</v>
      </c>
      <c r="K23" s="82">
        <v>0.32</v>
      </c>
      <c r="L23" s="58">
        <v>17205.504</v>
      </c>
      <c r="M23" s="12">
        <v>0.05</v>
      </c>
      <c r="N23" s="58">
        <v>2688.36</v>
      </c>
      <c r="O23" s="82">
        <v>0.05</v>
      </c>
      <c r="P23" s="58">
        <v>2688.36</v>
      </c>
      <c r="Q23" s="12">
        <v>0.93</v>
      </c>
      <c r="R23" s="58">
        <v>50003.49600000001</v>
      </c>
      <c r="S23" s="82">
        <v>0.09</v>
      </c>
      <c r="T23" s="58">
        <v>4839.048000000001</v>
      </c>
      <c r="U23" s="82">
        <v>3.33</v>
      </c>
      <c r="V23" s="58">
        <v>179044.77600000004</v>
      </c>
      <c r="W23" s="85">
        <v>0.29013971343123685</v>
      </c>
      <c r="X23" s="58">
        <v>15600</v>
      </c>
      <c r="Y23" s="38"/>
      <c r="Z23" s="58">
        <v>0</v>
      </c>
      <c r="AA23" s="58"/>
      <c r="AB23" s="58"/>
      <c r="AC23" s="169">
        <v>5.93</v>
      </c>
      <c r="AD23" s="58">
        <v>318839.49600000004</v>
      </c>
      <c r="AE23" s="12">
        <v>0</v>
      </c>
      <c r="AF23" s="12">
        <v>0</v>
      </c>
      <c r="AG23" s="12"/>
      <c r="AH23" s="12">
        <v>0</v>
      </c>
      <c r="AI23" s="82"/>
      <c r="AJ23" s="64">
        <v>0</v>
      </c>
      <c r="AK23" s="56">
        <v>0.902</v>
      </c>
      <c r="AL23" s="66">
        <v>48498.01440000001</v>
      </c>
      <c r="AM23" s="56">
        <v>2.662</v>
      </c>
      <c r="AN23" s="66">
        <v>143128.2864</v>
      </c>
      <c r="AO23" s="17">
        <v>1.19</v>
      </c>
      <c r="AP23" s="74">
        <v>1.03</v>
      </c>
      <c r="AQ23" s="74">
        <v>0.16</v>
      </c>
      <c r="AR23" s="74">
        <v>63982.96799999999</v>
      </c>
    </row>
    <row r="24" spans="1:44" ht="12.75">
      <c r="A24" s="6">
        <v>17</v>
      </c>
      <c r="B24" s="80">
        <v>17</v>
      </c>
      <c r="C24" s="81" t="s">
        <v>16</v>
      </c>
      <c r="D24" s="80">
        <v>3376.3</v>
      </c>
      <c r="E24" s="85">
        <v>0.0009631253146942242</v>
      </c>
      <c r="F24" s="82">
        <v>17.599036874685307</v>
      </c>
      <c r="G24" s="82">
        <v>17.6</v>
      </c>
      <c r="H24" s="82">
        <v>713035.5384000001</v>
      </c>
      <c r="I24" s="5">
        <v>1.86</v>
      </c>
      <c r="J24" s="58">
        <v>75359.016</v>
      </c>
      <c r="K24" s="82">
        <v>0.32</v>
      </c>
      <c r="L24" s="58">
        <v>12964.992000000002</v>
      </c>
      <c r="M24" s="12">
        <v>0.05</v>
      </c>
      <c r="N24" s="58">
        <v>2025.78</v>
      </c>
      <c r="O24" s="82">
        <v>0.03</v>
      </c>
      <c r="P24" s="58">
        <v>1215.468</v>
      </c>
      <c r="Q24" s="12">
        <v>0.93</v>
      </c>
      <c r="R24" s="58">
        <v>37679.508</v>
      </c>
      <c r="S24" s="82">
        <v>0.09</v>
      </c>
      <c r="T24" s="58">
        <v>3646.4040000000005</v>
      </c>
      <c r="U24" s="82">
        <v>3.05</v>
      </c>
      <c r="V24" s="58">
        <v>123572.58</v>
      </c>
      <c r="W24" s="85">
        <v>0.3850368746853064</v>
      </c>
      <c r="X24" s="58">
        <v>15600</v>
      </c>
      <c r="Y24" s="38"/>
      <c r="Z24" s="58">
        <v>0</v>
      </c>
      <c r="AA24" s="58"/>
      <c r="AB24" s="58"/>
      <c r="AC24" s="169">
        <v>6.13</v>
      </c>
      <c r="AD24" s="58">
        <v>248360.62800000006</v>
      </c>
      <c r="AE24" s="12">
        <v>0</v>
      </c>
      <c r="AF24" s="12">
        <v>0</v>
      </c>
      <c r="AG24" s="12"/>
      <c r="AH24" s="12">
        <v>0</v>
      </c>
      <c r="AI24" s="82"/>
      <c r="AJ24" s="64">
        <v>0</v>
      </c>
      <c r="AK24" s="56">
        <v>0.902</v>
      </c>
      <c r="AL24" s="66">
        <v>36545.071200000006</v>
      </c>
      <c r="AM24" s="56">
        <v>2.662</v>
      </c>
      <c r="AN24" s="66">
        <v>107852.52720000001</v>
      </c>
      <c r="AO24" s="17">
        <v>1.19</v>
      </c>
      <c r="AP24" s="74">
        <v>1.03</v>
      </c>
      <c r="AQ24" s="74">
        <v>0.16</v>
      </c>
      <c r="AR24" s="74">
        <v>48213.564</v>
      </c>
    </row>
    <row r="25" spans="1:44" ht="12.75">
      <c r="A25" s="6">
        <v>18</v>
      </c>
      <c r="B25" s="80">
        <v>18</v>
      </c>
      <c r="C25" s="81" t="s">
        <v>17</v>
      </c>
      <c r="D25" s="80">
        <v>3348.3</v>
      </c>
      <c r="E25" s="85">
        <v>-0.0022567272944478134</v>
      </c>
      <c r="F25" s="82">
        <v>17.60225672729445</v>
      </c>
      <c r="G25" s="82">
        <v>17.6</v>
      </c>
      <c r="H25" s="82">
        <v>707251.6344000001</v>
      </c>
      <c r="I25" s="5">
        <v>1.86</v>
      </c>
      <c r="J25" s="58">
        <v>74734.05600000001</v>
      </c>
      <c r="K25" s="82">
        <v>0.32</v>
      </c>
      <c r="L25" s="58">
        <v>12857.472000000002</v>
      </c>
      <c r="M25" s="12">
        <v>0.05</v>
      </c>
      <c r="N25" s="58">
        <v>2008.98</v>
      </c>
      <c r="O25" s="82">
        <v>0.1</v>
      </c>
      <c r="P25" s="58">
        <v>4017.96</v>
      </c>
      <c r="Q25" s="12">
        <v>0.93</v>
      </c>
      <c r="R25" s="58">
        <v>37367.028000000006</v>
      </c>
      <c r="S25" s="82">
        <v>0.09</v>
      </c>
      <c r="T25" s="58">
        <v>3616.1639999999998</v>
      </c>
      <c r="U25" s="82">
        <v>2.69</v>
      </c>
      <c r="V25" s="58">
        <v>108083.124</v>
      </c>
      <c r="W25" s="85">
        <v>0.38825672729444793</v>
      </c>
      <c r="X25" s="58">
        <v>15600</v>
      </c>
      <c r="Y25" s="38"/>
      <c r="Z25" s="58">
        <v>0</v>
      </c>
      <c r="AA25" s="58"/>
      <c r="AB25" s="58"/>
      <c r="AC25" s="169">
        <v>6.42</v>
      </c>
      <c r="AD25" s="58">
        <v>257953.032</v>
      </c>
      <c r="AE25" s="12">
        <v>0</v>
      </c>
      <c r="AF25" s="12">
        <v>0</v>
      </c>
      <c r="AG25" s="12"/>
      <c r="AH25" s="12">
        <v>0</v>
      </c>
      <c r="AI25" s="82"/>
      <c r="AJ25" s="64">
        <v>0</v>
      </c>
      <c r="AK25" s="56">
        <v>0.902</v>
      </c>
      <c r="AL25" s="66">
        <v>36241.999200000006</v>
      </c>
      <c r="AM25" s="56">
        <v>2.662</v>
      </c>
      <c r="AN25" s="66">
        <v>106958.09520000001</v>
      </c>
      <c r="AO25" s="17">
        <v>1.19</v>
      </c>
      <c r="AP25" s="74">
        <v>1.03</v>
      </c>
      <c r="AQ25" s="74">
        <v>0.16</v>
      </c>
      <c r="AR25" s="74">
        <v>47813.724</v>
      </c>
    </row>
    <row r="26" spans="1:44" ht="12.75">
      <c r="A26" s="6">
        <v>19</v>
      </c>
      <c r="B26" s="80">
        <v>19</v>
      </c>
      <c r="C26" s="81" t="s">
        <v>18</v>
      </c>
      <c r="D26" s="80">
        <v>2654.8</v>
      </c>
      <c r="E26" s="85">
        <v>-0.0036790718698185287</v>
      </c>
      <c r="F26" s="82">
        <v>17.60367907186982</v>
      </c>
      <c r="G26" s="82">
        <v>17.6</v>
      </c>
      <c r="H26" s="82">
        <v>560810.9664</v>
      </c>
      <c r="I26" s="5">
        <v>1.86</v>
      </c>
      <c r="J26" s="58">
        <v>59255.13600000001</v>
      </c>
      <c r="K26" s="82">
        <v>0.32</v>
      </c>
      <c r="L26" s="58">
        <v>10194.432</v>
      </c>
      <c r="M26" s="12">
        <v>0.05</v>
      </c>
      <c r="N26" s="58">
        <v>1592.88</v>
      </c>
      <c r="O26" s="82">
        <v>0.03</v>
      </c>
      <c r="P26" s="58">
        <v>955.7280000000001</v>
      </c>
      <c r="Q26" s="12">
        <v>0.93</v>
      </c>
      <c r="R26" s="58">
        <v>29627.568000000007</v>
      </c>
      <c r="S26" s="82">
        <v>0.09</v>
      </c>
      <c r="T26" s="58">
        <v>2867.184</v>
      </c>
      <c r="U26" s="82">
        <v>2.04</v>
      </c>
      <c r="V26" s="58">
        <v>64989.504</v>
      </c>
      <c r="W26" s="85">
        <v>0.4896790718698207</v>
      </c>
      <c r="X26" s="58">
        <v>15600</v>
      </c>
      <c r="Y26" s="38"/>
      <c r="Z26" s="58">
        <v>0</v>
      </c>
      <c r="AA26" s="58"/>
      <c r="AB26" s="58"/>
      <c r="AC26" s="169">
        <v>7.04</v>
      </c>
      <c r="AD26" s="58">
        <v>224277.50399999996</v>
      </c>
      <c r="AE26" s="12">
        <v>0</v>
      </c>
      <c r="AF26" s="12">
        <v>0</v>
      </c>
      <c r="AG26" s="12"/>
      <c r="AH26" s="12">
        <v>0</v>
      </c>
      <c r="AI26" s="82"/>
      <c r="AJ26" s="64">
        <v>0</v>
      </c>
      <c r="AK26" s="56">
        <v>0.902</v>
      </c>
      <c r="AL26" s="66">
        <v>28735.555200000003</v>
      </c>
      <c r="AM26" s="56">
        <v>2.662</v>
      </c>
      <c r="AN26" s="66">
        <v>84804.9312</v>
      </c>
      <c r="AO26" s="17">
        <v>1.19</v>
      </c>
      <c r="AP26" s="74">
        <v>1.03</v>
      </c>
      <c r="AQ26" s="74">
        <v>0.16</v>
      </c>
      <c r="AR26" s="74">
        <v>37910.544</v>
      </c>
    </row>
    <row r="27" spans="1:44" ht="12.75">
      <c r="A27" s="6">
        <v>20</v>
      </c>
      <c r="B27" s="80">
        <v>20</v>
      </c>
      <c r="C27" s="81" t="s">
        <v>19</v>
      </c>
      <c r="D27" s="80">
        <v>2631.7</v>
      </c>
      <c r="E27" s="85">
        <v>0.0020227229547451486</v>
      </c>
      <c r="F27" s="82">
        <v>17.597977277045256</v>
      </c>
      <c r="G27" s="82">
        <v>17.6</v>
      </c>
      <c r="H27" s="82">
        <v>555751.1616</v>
      </c>
      <c r="I27" s="5">
        <v>1.86</v>
      </c>
      <c r="J27" s="58">
        <v>58739.543999999994</v>
      </c>
      <c r="K27" s="82">
        <v>0.32</v>
      </c>
      <c r="L27" s="58">
        <v>10105.728</v>
      </c>
      <c r="M27" s="12">
        <v>0.05</v>
      </c>
      <c r="N27" s="58">
        <v>1579.02</v>
      </c>
      <c r="O27" s="82">
        <v>0.1</v>
      </c>
      <c r="P27" s="58">
        <v>3158.04</v>
      </c>
      <c r="Q27" s="12">
        <v>0.93</v>
      </c>
      <c r="R27" s="58">
        <v>29369.771999999997</v>
      </c>
      <c r="S27" s="82">
        <v>0.09</v>
      </c>
      <c r="T27" s="58">
        <v>2842.236</v>
      </c>
      <c r="U27" s="82">
        <v>2.76</v>
      </c>
      <c r="V27" s="58">
        <v>87161.904</v>
      </c>
      <c r="W27" s="85">
        <v>0.49397727704525596</v>
      </c>
      <c r="X27" s="58">
        <v>15600</v>
      </c>
      <c r="Y27" s="38"/>
      <c r="Z27" s="58">
        <v>0</v>
      </c>
      <c r="AA27" s="58"/>
      <c r="AB27" s="58"/>
      <c r="AC27" s="169">
        <v>6.24</v>
      </c>
      <c r="AD27" s="58">
        <v>197061.696</v>
      </c>
      <c r="AE27" s="12">
        <v>0</v>
      </c>
      <c r="AF27" s="12">
        <v>0</v>
      </c>
      <c r="AG27" s="12"/>
      <c r="AH27" s="12">
        <v>0</v>
      </c>
      <c r="AI27" s="82"/>
      <c r="AJ27" s="64">
        <v>0</v>
      </c>
      <c r="AK27" s="56">
        <v>0.902</v>
      </c>
      <c r="AL27" s="66">
        <v>28485.5208</v>
      </c>
      <c r="AM27" s="56">
        <v>2.662</v>
      </c>
      <c r="AN27" s="66">
        <v>84067.02479999998</v>
      </c>
      <c r="AO27" s="17">
        <v>1.19</v>
      </c>
      <c r="AP27" s="74">
        <v>1.03</v>
      </c>
      <c r="AQ27" s="74">
        <v>0.16</v>
      </c>
      <c r="AR27" s="74">
        <v>37580.67599999999</v>
      </c>
    </row>
    <row r="28" spans="1:44" ht="12.75">
      <c r="A28" s="6">
        <v>21</v>
      </c>
      <c r="B28" s="80">
        <v>21</v>
      </c>
      <c r="C28" s="81" t="s">
        <v>20</v>
      </c>
      <c r="D28" s="168">
        <v>2631</v>
      </c>
      <c r="E28" s="85">
        <v>0.001891296085137384</v>
      </c>
      <c r="F28" s="82">
        <v>19.388108703914863</v>
      </c>
      <c r="G28" s="82">
        <v>19.39</v>
      </c>
      <c r="H28" s="82">
        <v>560316.978</v>
      </c>
      <c r="I28" s="5">
        <v>1.86</v>
      </c>
      <c r="J28" s="58">
        <v>58723.92</v>
      </c>
      <c r="K28" s="82">
        <v>0.32</v>
      </c>
      <c r="L28" s="58">
        <v>10103.04</v>
      </c>
      <c r="M28" s="12">
        <v>0.05</v>
      </c>
      <c r="N28" s="58">
        <v>1578.6</v>
      </c>
      <c r="O28" s="82">
        <v>0.03</v>
      </c>
      <c r="P28" s="58">
        <v>947.16</v>
      </c>
      <c r="Q28" s="12">
        <v>0.93</v>
      </c>
      <c r="R28" s="58">
        <v>29361.96</v>
      </c>
      <c r="S28" s="82">
        <v>0.09</v>
      </c>
      <c r="T28" s="58">
        <v>2841.48</v>
      </c>
      <c r="U28" s="82">
        <v>2.52</v>
      </c>
      <c r="V28" s="58">
        <v>79561.44</v>
      </c>
      <c r="W28" s="85">
        <v>0.4941087039148613</v>
      </c>
      <c r="X28" s="58">
        <v>15600</v>
      </c>
      <c r="Y28" s="38"/>
      <c r="Z28" s="58">
        <v>0</v>
      </c>
      <c r="AA28" s="58"/>
      <c r="AB28" s="58"/>
      <c r="AC28" s="169">
        <v>6.55</v>
      </c>
      <c r="AD28" s="58">
        <v>206796.6</v>
      </c>
      <c r="AE28" s="12">
        <v>0</v>
      </c>
      <c r="AF28" s="12">
        <v>0</v>
      </c>
      <c r="AG28" s="12"/>
      <c r="AH28" s="12">
        <v>0</v>
      </c>
      <c r="AI28" s="82">
        <v>1.79</v>
      </c>
      <c r="AJ28" s="64">
        <v>4709.49</v>
      </c>
      <c r="AK28" s="56">
        <v>0.902</v>
      </c>
      <c r="AL28" s="66">
        <v>28477.944000000003</v>
      </c>
      <c r="AM28" s="56">
        <v>2.662</v>
      </c>
      <c r="AN28" s="66">
        <v>84044.66399999999</v>
      </c>
      <c r="AO28" s="17">
        <v>1.19</v>
      </c>
      <c r="AP28" s="74">
        <v>1.03</v>
      </c>
      <c r="AQ28" s="74">
        <v>0.16</v>
      </c>
      <c r="AR28" s="74">
        <v>37570.68</v>
      </c>
    </row>
    <row r="29" spans="1:44" ht="12.75">
      <c r="A29" s="6">
        <v>22</v>
      </c>
      <c r="B29" s="80">
        <v>22</v>
      </c>
      <c r="C29" s="81" t="s">
        <v>21</v>
      </c>
      <c r="D29" s="80">
        <v>2678.4</v>
      </c>
      <c r="E29" s="85">
        <v>0.0006356033452838972</v>
      </c>
      <c r="F29" s="82">
        <v>19.389364396654717</v>
      </c>
      <c r="G29" s="82">
        <v>19.39</v>
      </c>
      <c r="H29" s="82">
        <v>570451.9872000001</v>
      </c>
      <c r="I29" s="5">
        <v>1.86</v>
      </c>
      <c r="J29" s="58">
        <v>59781.888000000006</v>
      </c>
      <c r="K29" s="82">
        <v>0.32</v>
      </c>
      <c r="L29" s="58">
        <v>10285.056</v>
      </c>
      <c r="M29" s="12">
        <v>0.05</v>
      </c>
      <c r="N29" s="58">
        <v>1607.04</v>
      </c>
      <c r="O29" s="82">
        <v>0.1</v>
      </c>
      <c r="P29" s="58">
        <v>3214.08</v>
      </c>
      <c r="Q29" s="12">
        <v>0.93</v>
      </c>
      <c r="R29" s="58">
        <v>29890.944000000003</v>
      </c>
      <c r="S29" s="82">
        <v>0.09</v>
      </c>
      <c r="T29" s="58">
        <v>2892.672</v>
      </c>
      <c r="U29" s="82">
        <v>2.6</v>
      </c>
      <c r="V29" s="58">
        <v>83566.08</v>
      </c>
      <c r="W29" s="85">
        <v>0.4853643966547192</v>
      </c>
      <c r="X29" s="58">
        <v>15600</v>
      </c>
      <c r="Y29" s="38"/>
      <c r="Z29" s="58">
        <v>0</v>
      </c>
      <c r="AA29" s="58"/>
      <c r="AB29" s="58"/>
      <c r="AC29" s="169">
        <v>6.41</v>
      </c>
      <c r="AD29" s="58">
        <v>206022.528</v>
      </c>
      <c r="AE29" s="12">
        <v>0</v>
      </c>
      <c r="AF29" s="12">
        <v>0</v>
      </c>
      <c r="AG29" s="12"/>
      <c r="AH29" s="12">
        <v>0</v>
      </c>
      <c r="AI29" s="82">
        <v>1.79</v>
      </c>
      <c r="AJ29" s="64">
        <v>4794.336</v>
      </c>
      <c r="AK29" s="56">
        <v>0.902</v>
      </c>
      <c r="AL29" s="66">
        <v>28991.0016</v>
      </c>
      <c r="AM29" s="56">
        <v>2.662</v>
      </c>
      <c r="AN29" s="66">
        <v>85558.80960000001</v>
      </c>
      <c r="AO29" s="17">
        <v>1.19</v>
      </c>
      <c r="AP29" s="74">
        <v>1.03</v>
      </c>
      <c r="AQ29" s="74">
        <v>0.16</v>
      </c>
      <c r="AR29" s="74">
        <v>38247.551999999996</v>
      </c>
    </row>
    <row r="30" spans="1:44" ht="12.75">
      <c r="A30" s="6">
        <v>23</v>
      </c>
      <c r="B30" s="80">
        <v>23</v>
      </c>
      <c r="C30" s="81" t="s">
        <v>22</v>
      </c>
      <c r="D30" s="168">
        <v>6129.3</v>
      </c>
      <c r="E30" s="85">
        <v>0.003904002088329861</v>
      </c>
      <c r="F30" s="82">
        <v>17.59609599791167</v>
      </c>
      <c r="G30" s="82">
        <v>17.6</v>
      </c>
      <c r="H30" s="82">
        <v>1294221.0144000002</v>
      </c>
      <c r="I30" s="5">
        <v>1.86</v>
      </c>
      <c r="J30" s="58">
        <v>136805.97600000002</v>
      </c>
      <c r="K30" s="82">
        <v>0.32</v>
      </c>
      <c r="L30" s="58">
        <v>23536.512000000002</v>
      </c>
      <c r="M30" s="12">
        <v>0.05</v>
      </c>
      <c r="N30" s="58">
        <v>3677.58</v>
      </c>
      <c r="O30" s="82">
        <v>0.1</v>
      </c>
      <c r="P30" s="58">
        <v>7355.16</v>
      </c>
      <c r="Q30" s="12">
        <v>0.93</v>
      </c>
      <c r="R30" s="58">
        <v>68402.98800000001</v>
      </c>
      <c r="S30" s="82">
        <v>0.09</v>
      </c>
      <c r="T30" s="58">
        <v>6619.643999999999</v>
      </c>
      <c r="U30" s="82">
        <v>2.66</v>
      </c>
      <c r="V30" s="58">
        <v>195647.25600000002</v>
      </c>
      <c r="W30" s="85">
        <v>0.2120959979116702</v>
      </c>
      <c r="X30" s="58">
        <v>15600</v>
      </c>
      <c r="Y30" s="38"/>
      <c r="Z30" s="58">
        <v>0</v>
      </c>
      <c r="AA30" s="58"/>
      <c r="AB30" s="58"/>
      <c r="AC30" s="169">
        <v>6.62</v>
      </c>
      <c r="AD30" s="58">
        <v>486911.592</v>
      </c>
      <c r="AE30" s="12">
        <v>0</v>
      </c>
      <c r="AF30" s="12">
        <v>0</v>
      </c>
      <c r="AG30" s="12"/>
      <c r="AH30" s="12">
        <v>0</v>
      </c>
      <c r="AI30" s="82"/>
      <c r="AJ30" s="64">
        <v>0</v>
      </c>
      <c r="AK30" s="56">
        <v>0.902</v>
      </c>
      <c r="AL30" s="66">
        <v>66343.5432</v>
      </c>
      <c r="AM30" s="56">
        <v>2.662</v>
      </c>
      <c r="AN30" s="66">
        <v>195794.3592</v>
      </c>
      <c r="AO30" s="17">
        <v>1.19</v>
      </c>
      <c r="AP30" s="74">
        <v>1.03</v>
      </c>
      <c r="AQ30" s="74">
        <v>0.16</v>
      </c>
      <c r="AR30" s="74">
        <v>87526.40400000001</v>
      </c>
    </row>
    <row r="31" spans="1:44" ht="12.75">
      <c r="A31" s="6">
        <v>24</v>
      </c>
      <c r="B31" s="80">
        <v>24</v>
      </c>
      <c r="C31" s="81" t="s">
        <v>232</v>
      </c>
      <c r="D31" s="43">
        <v>2386.3</v>
      </c>
      <c r="E31" s="85">
        <v>-0.0030587939487887184</v>
      </c>
      <c r="F31" s="82">
        <v>19.39305879394879</v>
      </c>
      <c r="G31" s="82">
        <v>19.39</v>
      </c>
      <c r="H31" s="82">
        <v>508345.62740000006</v>
      </c>
      <c r="I31" s="5">
        <v>1.86</v>
      </c>
      <c r="J31" s="58">
        <v>53262.216000000015</v>
      </c>
      <c r="K31" s="82">
        <v>0.32</v>
      </c>
      <c r="L31" s="58">
        <v>9163.392000000002</v>
      </c>
      <c r="M31" s="43">
        <v>0.07</v>
      </c>
      <c r="N31" s="58">
        <v>2004.4920000000002</v>
      </c>
      <c r="O31" s="82"/>
      <c r="P31" s="58">
        <v>0</v>
      </c>
      <c r="Q31" s="43">
        <v>0.93</v>
      </c>
      <c r="R31" s="58">
        <v>26631.108000000007</v>
      </c>
      <c r="S31" s="83">
        <v>0.09</v>
      </c>
      <c r="T31" s="58">
        <v>2577.2039999999997</v>
      </c>
      <c r="U31" s="82">
        <v>4</v>
      </c>
      <c r="V31" s="58">
        <v>114542.4</v>
      </c>
      <c r="W31" s="85">
        <v>0.41905879394879103</v>
      </c>
      <c r="X31" s="58">
        <v>12000</v>
      </c>
      <c r="Y31" s="38"/>
      <c r="Z31" s="58">
        <v>0</v>
      </c>
      <c r="AA31" s="58"/>
      <c r="AB31" s="58"/>
      <c r="AC31" s="169">
        <v>5.16</v>
      </c>
      <c r="AD31" s="58">
        <v>147759.696</v>
      </c>
      <c r="AE31" s="84"/>
      <c r="AF31" s="12">
        <v>0</v>
      </c>
      <c r="AG31" s="84"/>
      <c r="AH31" s="12">
        <v>0</v>
      </c>
      <c r="AI31" s="82">
        <v>1.79</v>
      </c>
      <c r="AJ31" s="64">
        <v>4271.477000000001</v>
      </c>
      <c r="AK31" s="56">
        <v>0.902</v>
      </c>
      <c r="AL31" s="66">
        <v>25829.311200000004</v>
      </c>
      <c r="AM31" s="56">
        <v>2.662</v>
      </c>
      <c r="AN31" s="66">
        <v>76227.9672</v>
      </c>
      <c r="AO31" s="17">
        <v>1.19</v>
      </c>
      <c r="AP31" s="74">
        <v>1.03</v>
      </c>
      <c r="AQ31" s="74">
        <v>0.16</v>
      </c>
      <c r="AR31" s="74">
        <v>34076.364</v>
      </c>
    </row>
    <row r="32" spans="1:44" ht="12.75">
      <c r="A32" s="6">
        <v>25</v>
      </c>
      <c r="B32" s="80">
        <v>25</v>
      </c>
      <c r="C32" s="81" t="s">
        <v>233</v>
      </c>
      <c r="D32" s="64">
        <v>2403.6</v>
      </c>
      <c r="E32" s="85">
        <v>-4.26027625195502E-05</v>
      </c>
      <c r="F32" s="82">
        <v>17.60004260276252</v>
      </c>
      <c r="G32" s="82">
        <v>17.6</v>
      </c>
      <c r="H32" s="82">
        <v>507641.54879999993</v>
      </c>
      <c r="I32" s="5">
        <v>1.86</v>
      </c>
      <c r="J32" s="58">
        <v>53648.352</v>
      </c>
      <c r="K32" s="82">
        <v>0.32</v>
      </c>
      <c r="L32" s="58">
        <v>9229.824</v>
      </c>
      <c r="M32" s="12">
        <v>0.11</v>
      </c>
      <c r="N32" s="58">
        <v>3172.7520000000004</v>
      </c>
      <c r="O32" s="82"/>
      <c r="P32" s="58">
        <v>0</v>
      </c>
      <c r="Q32" s="12">
        <v>0.93</v>
      </c>
      <c r="R32" s="58">
        <v>26824.176</v>
      </c>
      <c r="S32" s="82">
        <v>0.09</v>
      </c>
      <c r="T32" s="58">
        <v>2595.888</v>
      </c>
      <c r="U32" s="82">
        <v>3.8</v>
      </c>
      <c r="V32" s="58">
        <v>109604.16</v>
      </c>
      <c r="W32" s="85">
        <v>0.41604260276252286</v>
      </c>
      <c r="X32" s="58">
        <v>12000</v>
      </c>
      <c r="Y32" s="38"/>
      <c r="Z32" s="58">
        <v>0</v>
      </c>
      <c r="AA32" s="58"/>
      <c r="AB32" s="58"/>
      <c r="AC32" s="169">
        <v>5.32</v>
      </c>
      <c r="AD32" s="58">
        <v>153445.824</v>
      </c>
      <c r="AE32" s="58"/>
      <c r="AF32" s="12">
        <v>0</v>
      </c>
      <c r="AG32" s="58"/>
      <c r="AH32" s="12">
        <v>0</v>
      </c>
      <c r="AI32" s="82"/>
      <c r="AJ32" s="64">
        <v>0</v>
      </c>
      <c r="AK32" s="56">
        <v>0.902</v>
      </c>
      <c r="AL32" s="66">
        <v>26016.5664</v>
      </c>
      <c r="AM32" s="56">
        <v>2.662</v>
      </c>
      <c r="AN32" s="66">
        <v>76780.59839999999</v>
      </c>
      <c r="AO32" s="17">
        <v>1.19</v>
      </c>
      <c r="AP32" s="74">
        <v>1.03</v>
      </c>
      <c r="AQ32" s="74">
        <v>0.16</v>
      </c>
      <c r="AR32" s="74">
        <v>34323.407999999996</v>
      </c>
    </row>
    <row r="33" spans="1:44" ht="12.75">
      <c r="A33" s="6">
        <v>26</v>
      </c>
      <c r="B33" s="80">
        <v>26</v>
      </c>
      <c r="C33" s="81" t="s">
        <v>234</v>
      </c>
      <c r="D33" s="170">
        <v>4566.4</v>
      </c>
      <c r="E33" s="85">
        <v>0.0013118430273273418</v>
      </c>
      <c r="F33" s="82">
        <v>19.388688156972673</v>
      </c>
      <c r="G33" s="82">
        <v>19.39</v>
      </c>
      <c r="H33" s="82">
        <v>972525.6512000001</v>
      </c>
      <c r="I33" s="5">
        <v>1.86</v>
      </c>
      <c r="J33" s="58">
        <v>101922.04799999998</v>
      </c>
      <c r="K33" s="82">
        <v>0.32</v>
      </c>
      <c r="L33" s="58">
        <v>17534.976</v>
      </c>
      <c r="M33" s="43">
        <v>0.07</v>
      </c>
      <c r="N33" s="58">
        <v>3835.7760000000003</v>
      </c>
      <c r="O33" s="82"/>
      <c r="P33" s="58">
        <v>0</v>
      </c>
      <c r="Q33" s="43">
        <v>0.93</v>
      </c>
      <c r="R33" s="58">
        <v>50961.02399999999</v>
      </c>
      <c r="S33" s="83"/>
      <c r="T33" s="58">
        <v>0</v>
      </c>
      <c r="U33" s="82">
        <v>2.8</v>
      </c>
      <c r="V33" s="58">
        <v>153431.04</v>
      </c>
      <c r="W33" s="85">
        <v>0.28468815697266997</v>
      </c>
      <c r="X33" s="58">
        <v>15600</v>
      </c>
      <c r="Y33" s="38"/>
      <c r="Z33" s="58">
        <v>0</v>
      </c>
      <c r="AA33" s="58"/>
      <c r="AB33" s="58"/>
      <c r="AC33" s="169">
        <v>6.58</v>
      </c>
      <c r="AD33" s="58">
        <v>360562.94399999996</v>
      </c>
      <c r="AE33" s="84"/>
      <c r="AF33" s="12">
        <v>0</v>
      </c>
      <c r="AG33" s="84"/>
      <c r="AH33" s="12">
        <v>0</v>
      </c>
      <c r="AI33" s="82">
        <v>1.79</v>
      </c>
      <c r="AJ33" s="64">
        <v>8173.856</v>
      </c>
      <c r="AK33" s="56">
        <v>0.902</v>
      </c>
      <c r="AL33" s="66">
        <v>49426.713599999995</v>
      </c>
      <c r="AM33" s="56">
        <v>2.662</v>
      </c>
      <c r="AN33" s="66">
        <v>145869.08159999998</v>
      </c>
      <c r="AO33" s="17">
        <v>1.19</v>
      </c>
      <c r="AP33" s="74">
        <v>1.03</v>
      </c>
      <c r="AQ33" s="74">
        <v>0.16</v>
      </c>
      <c r="AR33" s="74">
        <v>65208.191999999995</v>
      </c>
    </row>
    <row r="34" spans="1:44" ht="12.75">
      <c r="A34" s="6">
        <v>27</v>
      </c>
      <c r="B34" s="80">
        <v>27</v>
      </c>
      <c r="C34" s="81" t="s">
        <v>118</v>
      </c>
      <c r="D34" s="170">
        <v>1474</v>
      </c>
      <c r="E34" s="85">
        <v>0.0040461329715064664</v>
      </c>
      <c r="F34" s="82">
        <v>17.595953867028495</v>
      </c>
      <c r="G34" s="82">
        <v>17.6</v>
      </c>
      <c r="H34" s="82">
        <v>311237.23199999996</v>
      </c>
      <c r="I34" s="5">
        <v>1.86</v>
      </c>
      <c r="J34" s="58">
        <v>32899.68</v>
      </c>
      <c r="K34" s="82">
        <v>0.32</v>
      </c>
      <c r="L34" s="58">
        <v>5660.16</v>
      </c>
      <c r="M34" s="43">
        <v>0.06</v>
      </c>
      <c r="N34" s="58">
        <v>1061.28</v>
      </c>
      <c r="O34" s="83"/>
      <c r="P34" s="58">
        <v>0</v>
      </c>
      <c r="Q34" s="12">
        <v>0.93</v>
      </c>
      <c r="R34" s="58">
        <v>16449.84</v>
      </c>
      <c r="S34" s="82">
        <v>0.09</v>
      </c>
      <c r="T34" s="58">
        <v>1591.92</v>
      </c>
      <c r="U34" s="82">
        <v>4.45</v>
      </c>
      <c r="V34" s="58">
        <v>78711.6</v>
      </c>
      <c r="W34" s="85">
        <v>0.881953867028494</v>
      </c>
      <c r="X34" s="58">
        <v>15600</v>
      </c>
      <c r="Y34" s="38"/>
      <c r="Z34" s="58">
        <v>0</v>
      </c>
      <c r="AA34" s="58"/>
      <c r="AB34" s="58"/>
      <c r="AC34" s="169">
        <v>4.25</v>
      </c>
      <c r="AD34" s="58">
        <v>75174</v>
      </c>
      <c r="AE34" s="84">
        <v>0</v>
      </c>
      <c r="AF34" s="12">
        <v>0</v>
      </c>
      <c r="AG34" s="84"/>
      <c r="AH34" s="12">
        <v>0</v>
      </c>
      <c r="AI34" s="82"/>
      <c r="AJ34" s="64">
        <v>0</v>
      </c>
      <c r="AK34" s="56">
        <v>0.902</v>
      </c>
      <c r="AL34" s="66">
        <v>15954.576000000001</v>
      </c>
      <c r="AM34" s="56">
        <v>2.662</v>
      </c>
      <c r="AN34" s="66">
        <v>47085.456</v>
      </c>
      <c r="AO34" s="17">
        <v>1.19</v>
      </c>
      <c r="AP34" s="74">
        <v>1.03</v>
      </c>
      <c r="AQ34" s="74">
        <v>0.16</v>
      </c>
      <c r="AR34" s="74">
        <v>21048.72</v>
      </c>
    </row>
    <row r="35" spans="1:44" ht="12.75">
      <c r="A35" s="6">
        <v>28</v>
      </c>
      <c r="B35" s="80">
        <v>28</v>
      </c>
      <c r="C35" s="81" t="s">
        <v>119</v>
      </c>
      <c r="D35" s="170">
        <v>1462</v>
      </c>
      <c r="E35" s="85">
        <v>-0.003192886456908184</v>
      </c>
      <c r="F35" s="82">
        <v>17.60319288645691</v>
      </c>
      <c r="G35" s="82">
        <v>17.6</v>
      </c>
      <c r="H35" s="82">
        <v>308830.41599999997</v>
      </c>
      <c r="I35" s="5">
        <v>1.86</v>
      </c>
      <c r="J35" s="58">
        <v>32631.84</v>
      </c>
      <c r="K35" s="82">
        <v>0.32</v>
      </c>
      <c r="L35" s="58">
        <v>5614.08</v>
      </c>
      <c r="M35" s="43">
        <v>0.06</v>
      </c>
      <c r="N35" s="58">
        <v>1052.64</v>
      </c>
      <c r="O35" s="83"/>
      <c r="P35" s="58">
        <v>0</v>
      </c>
      <c r="Q35" s="12">
        <v>0.93</v>
      </c>
      <c r="R35" s="58">
        <v>16315.92</v>
      </c>
      <c r="S35" s="82">
        <v>0.09</v>
      </c>
      <c r="T35" s="58">
        <v>1578.96</v>
      </c>
      <c r="U35" s="82">
        <v>3.9</v>
      </c>
      <c r="V35" s="58">
        <v>68421.6</v>
      </c>
      <c r="W35" s="85">
        <v>0.8891928864569083</v>
      </c>
      <c r="X35" s="58">
        <v>15600</v>
      </c>
      <c r="Y35" s="38"/>
      <c r="Z35" s="58">
        <v>0</v>
      </c>
      <c r="AA35" s="58"/>
      <c r="AB35" s="58"/>
      <c r="AC35" s="169">
        <v>4.8</v>
      </c>
      <c r="AD35" s="58">
        <v>84211.2</v>
      </c>
      <c r="AE35" s="84">
        <v>0</v>
      </c>
      <c r="AF35" s="12">
        <v>0</v>
      </c>
      <c r="AG35" s="84"/>
      <c r="AH35" s="12">
        <v>0</v>
      </c>
      <c r="AI35" s="82"/>
      <c r="AJ35" s="64">
        <v>0</v>
      </c>
      <c r="AK35" s="56">
        <v>0.902</v>
      </c>
      <c r="AL35" s="66">
        <v>15824.687999999998</v>
      </c>
      <c r="AM35" s="56">
        <v>2.662</v>
      </c>
      <c r="AN35" s="66">
        <v>46702.128</v>
      </c>
      <c r="AO35" s="17">
        <v>1.19</v>
      </c>
      <c r="AP35" s="74">
        <v>1.03</v>
      </c>
      <c r="AQ35" s="74">
        <v>0.16</v>
      </c>
      <c r="AR35" s="74">
        <v>20877.36</v>
      </c>
    </row>
    <row r="36" spans="1:44" ht="12.75">
      <c r="A36" s="6">
        <v>29</v>
      </c>
      <c r="B36" s="80">
        <v>29</v>
      </c>
      <c r="C36" s="81" t="s">
        <v>23</v>
      </c>
      <c r="D36" s="80">
        <v>4552.1</v>
      </c>
      <c r="E36" s="85">
        <v>0.00041752158344365853</v>
      </c>
      <c r="F36" s="82">
        <v>17.599582478416558</v>
      </c>
      <c r="G36" s="82">
        <v>17.6</v>
      </c>
      <c r="H36" s="82">
        <v>961380.7128000001</v>
      </c>
      <c r="I36" s="5">
        <v>1.86</v>
      </c>
      <c r="J36" s="58">
        <v>101602.872</v>
      </c>
      <c r="K36" s="82">
        <v>0.32</v>
      </c>
      <c r="L36" s="58">
        <v>17480.064000000002</v>
      </c>
      <c r="M36" s="12">
        <v>0.05</v>
      </c>
      <c r="N36" s="58">
        <v>2731.26</v>
      </c>
      <c r="O36" s="82">
        <v>0.1</v>
      </c>
      <c r="P36" s="58">
        <v>5462.52</v>
      </c>
      <c r="Q36" s="12">
        <v>0.93</v>
      </c>
      <c r="R36" s="58">
        <v>50801.436</v>
      </c>
      <c r="S36" s="82">
        <v>0.09</v>
      </c>
      <c r="T36" s="58">
        <v>4916.268</v>
      </c>
      <c r="U36" s="82">
        <v>2.97</v>
      </c>
      <c r="V36" s="58">
        <v>162236.84400000004</v>
      </c>
      <c r="W36" s="85">
        <v>0.285582478416555</v>
      </c>
      <c r="X36" s="58">
        <v>15600</v>
      </c>
      <c r="Y36" s="38"/>
      <c r="Z36" s="58">
        <v>0</v>
      </c>
      <c r="AA36" s="58"/>
      <c r="AB36" s="58"/>
      <c r="AC36" s="169">
        <v>6.24</v>
      </c>
      <c r="AD36" s="58">
        <v>340861.248</v>
      </c>
      <c r="AE36" s="12">
        <v>0</v>
      </c>
      <c r="AF36" s="12">
        <v>0</v>
      </c>
      <c r="AG36" s="12"/>
      <c r="AH36" s="12">
        <v>0</v>
      </c>
      <c r="AI36" s="82"/>
      <c r="AJ36" s="64">
        <v>0</v>
      </c>
      <c r="AK36" s="56">
        <v>0.902</v>
      </c>
      <c r="AL36" s="66">
        <v>49271.9304</v>
      </c>
      <c r="AM36" s="56">
        <v>2.662</v>
      </c>
      <c r="AN36" s="66">
        <v>145412.28240000003</v>
      </c>
      <c r="AO36" s="17">
        <v>1.19</v>
      </c>
      <c r="AP36" s="74">
        <v>1.03</v>
      </c>
      <c r="AQ36" s="74">
        <v>0.16</v>
      </c>
      <c r="AR36" s="74">
        <v>65003.988</v>
      </c>
    </row>
    <row r="37" spans="1:44" ht="12.75">
      <c r="A37" s="6">
        <v>30</v>
      </c>
      <c r="B37" s="80">
        <v>30</v>
      </c>
      <c r="C37" s="81" t="s">
        <v>24</v>
      </c>
      <c r="D37" s="80">
        <v>7573.69</v>
      </c>
      <c r="E37" s="85">
        <v>0.004353154142826554</v>
      </c>
      <c r="F37" s="82">
        <v>17.595646845857175</v>
      </c>
      <c r="G37" s="82">
        <v>17.6</v>
      </c>
      <c r="H37" s="82">
        <v>1599167.6947199998</v>
      </c>
      <c r="I37" s="5">
        <v>1.86</v>
      </c>
      <c r="J37" s="58">
        <v>169044.7608</v>
      </c>
      <c r="K37" s="82">
        <v>0.32</v>
      </c>
      <c r="L37" s="58">
        <v>29082.969599999997</v>
      </c>
      <c r="M37" s="12">
        <v>0.05</v>
      </c>
      <c r="N37" s="58">
        <v>4544.214</v>
      </c>
      <c r="O37" s="82">
        <v>0.1</v>
      </c>
      <c r="P37" s="58">
        <v>9088.428</v>
      </c>
      <c r="Q37" s="12">
        <v>0.93</v>
      </c>
      <c r="R37" s="58">
        <v>84522.3804</v>
      </c>
      <c r="S37" s="82">
        <v>0.09</v>
      </c>
      <c r="T37" s="58">
        <v>8179.5851999999995</v>
      </c>
      <c r="U37" s="82">
        <v>3.17</v>
      </c>
      <c r="V37" s="58">
        <v>288103.16760000004</v>
      </c>
      <c r="W37" s="85">
        <v>0.17164684585717135</v>
      </c>
      <c r="X37" s="58">
        <v>15600</v>
      </c>
      <c r="Y37" s="38"/>
      <c r="Z37" s="58">
        <v>0</v>
      </c>
      <c r="AA37" s="58"/>
      <c r="AB37" s="58"/>
      <c r="AC37" s="169">
        <v>6.15</v>
      </c>
      <c r="AD37" s="58">
        <v>558938.322</v>
      </c>
      <c r="AE37" s="12">
        <v>0</v>
      </c>
      <c r="AF37" s="12">
        <v>0</v>
      </c>
      <c r="AG37" s="12"/>
      <c r="AH37" s="12">
        <v>0</v>
      </c>
      <c r="AI37" s="82"/>
      <c r="AJ37" s="64">
        <v>0</v>
      </c>
      <c r="AK37" s="56">
        <v>0.902</v>
      </c>
      <c r="AL37" s="66">
        <v>81977.62056000001</v>
      </c>
      <c r="AM37" s="56">
        <v>2.662</v>
      </c>
      <c r="AN37" s="66">
        <v>241933.95335999998</v>
      </c>
      <c r="AO37" s="17">
        <v>1.19</v>
      </c>
      <c r="AP37" s="74">
        <v>1.03</v>
      </c>
      <c r="AQ37" s="74">
        <v>0.16</v>
      </c>
      <c r="AR37" s="74">
        <v>108152.2932</v>
      </c>
    </row>
    <row r="38" spans="1:44" ht="12.75">
      <c r="A38" s="6">
        <v>31</v>
      </c>
      <c r="B38" s="80">
        <v>31</v>
      </c>
      <c r="C38" s="81" t="s">
        <v>25</v>
      </c>
      <c r="D38" s="80">
        <v>3380.8</v>
      </c>
      <c r="E38" s="85">
        <v>0.00021202082347215878</v>
      </c>
      <c r="F38" s="82">
        <v>17.59978797917653</v>
      </c>
      <c r="G38" s="82">
        <v>17.6</v>
      </c>
      <c r="H38" s="82">
        <v>714016.3584000001</v>
      </c>
      <c r="I38" s="5">
        <v>1.86</v>
      </c>
      <c r="J38" s="58">
        <v>75459.456</v>
      </c>
      <c r="K38" s="82">
        <v>0.32</v>
      </c>
      <c r="L38" s="58">
        <v>12982.272</v>
      </c>
      <c r="M38" s="12">
        <v>0.05</v>
      </c>
      <c r="N38" s="58">
        <v>2028.48</v>
      </c>
      <c r="O38" s="82">
        <v>0.1</v>
      </c>
      <c r="P38" s="58">
        <v>4056.96</v>
      </c>
      <c r="Q38" s="12">
        <v>0.93</v>
      </c>
      <c r="R38" s="58">
        <v>37729.728</v>
      </c>
      <c r="S38" s="82">
        <v>0.09</v>
      </c>
      <c r="T38" s="58">
        <v>3651.264</v>
      </c>
      <c r="U38" s="82">
        <v>2.45</v>
      </c>
      <c r="V38" s="58">
        <v>99395.52</v>
      </c>
      <c r="W38" s="85">
        <v>0.2957879791765263</v>
      </c>
      <c r="X38" s="58">
        <v>12000</v>
      </c>
      <c r="Y38" s="38"/>
      <c r="Z38" s="58">
        <v>0</v>
      </c>
      <c r="AA38" s="58"/>
      <c r="AB38" s="58"/>
      <c r="AC38" s="169">
        <v>6.75</v>
      </c>
      <c r="AD38" s="58">
        <v>273844.8</v>
      </c>
      <c r="AE38" s="12">
        <v>0</v>
      </c>
      <c r="AF38" s="12">
        <v>0</v>
      </c>
      <c r="AG38" s="12"/>
      <c r="AH38" s="12">
        <v>0</v>
      </c>
      <c r="AI38" s="82"/>
      <c r="AJ38" s="64">
        <v>0</v>
      </c>
      <c r="AK38" s="56">
        <v>0.902</v>
      </c>
      <c r="AL38" s="66">
        <v>36593.779200000004</v>
      </c>
      <c r="AM38" s="56">
        <v>2.662</v>
      </c>
      <c r="AN38" s="66">
        <v>107996.2752</v>
      </c>
      <c r="AO38" s="17">
        <v>1.19</v>
      </c>
      <c r="AP38" s="74">
        <v>1.03</v>
      </c>
      <c r="AQ38" s="74">
        <v>0.16</v>
      </c>
      <c r="AR38" s="74">
        <v>48277.824</v>
      </c>
    </row>
    <row r="39" spans="1:44" ht="12.75">
      <c r="A39" s="6">
        <v>32</v>
      </c>
      <c r="B39" s="80">
        <v>32</v>
      </c>
      <c r="C39" s="81" t="s">
        <v>26</v>
      </c>
      <c r="D39" s="80">
        <v>3433.08</v>
      </c>
      <c r="E39" s="85">
        <v>-0.0026687173034112277</v>
      </c>
      <c r="F39" s="82">
        <v>17.602668717303413</v>
      </c>
      <c r="G39" s="82">
        <v>17.6</v>
      </c>
      <c r="H39" s="82">
        <v>725176.43904</v>
      </c>
      <c r="I39" s="5">
        <v>1.86</v>
      </c>
      <c r="J39" s="58">
        <v>76626.3456</v>
      </c>
      <c r="K39" s="82">
        <v>0.32</v>
      </c>
      <c r="L39" s="58">
        <v>13183.0272</v>
      </c>
      <c r="M39" s="12">
        <v>0.05</v>
      </c>
      <c r="N39" s="58">
        <v>2059.848</v>
      </c>
      <c r="O39" s="82">
        <v>0.05</v>
      </c>
      <c r="P39" s="58">
        <v>2059.848</v>
      </c>
      <c r="Q39" s="12">
        <v>0.93</v>
      </c>
      <c r="R39" s="58">
        <v>38313.1728</v>
      </c>
      <c r="S39" s="82">
        <v>0.09</v>
      </c>
      <c r="T39" s="58">
        <v>3707.7263999999996</v>
      </c>
      <c r="U39" s="82">
        <v>2.65</v>
      </c>
      <c r="V39" s="58">
        <v>109171.944</v>
      </c>
      <c r="W39" s="85">
        <v>0.37866871730341267</v>
      </c>
      <c r="X39" s="58">
        <v>15600</v>
      </c>
      <c r="Y39" s="38"/>
      <c r="Z39" s="58">
        <v>0</v>
      </c>
      <c r="AA39" s="58"/>
      <c r="AB39" s="58"/>
      <c r="AC39" s="169">
        <v>6.52</v>
      </c>
      <c r="AD39" s="58">
        <v>268604.17919999996</v>
      </c>
      <c r="AE39" s="12">
        <v>0</v>
      </c>
      <c r="AF39" s="12">
        <v>0</v>
      </c>
      <c r="AG39" s="12"/>
      <c r="AH39" s="12">
        <v>0</v>
      </c>
      <c r="AI39" s="82"/>
      <c r="AJ39" s="64">
        <v>0</v>
      </c>
      <c r="AK39" s="56">
        <v>0.902</v>
      </c>
      <c r="AL39" s="66">
        <v>37159.65792</v>
      </c>
      <c r="AM39" s="56">
        <v>2.662</v>
      </c>
      <c r="AN39" s="66">
        <v>109666.30752</v>
      </c>
      <c r="AO39" s="17">
        <v>1.19</v>
      </c>
      <c r="AP39" s="74">
        <v>1.03</v>
      </c>
      <c r="AQ39" s="74">
        <v>0.16</v>
      </c>
      <c r="AR39" s="74">
        <v>49024.382399999995</v>
      </c>
    </row>
    <row r="40" spans="1:44" ht="12.75">
      <c r="A40" s="6">
        <v>33</v>
      </c>
      <c r="B40" s="80">
        <v>33</v>
      </c>
      <c r="C40" s="81" t="s">
        <v>123</v>
      </c>
      <c r="D40" s="168">
        <v>2797.2</v>
      </c>
      <c r="E40" s="85">
        <v>0.001249535249534972</v>
      </c>
      <c r="F40" s="82">
        <v>17.598750464750466</v>
      </c>
      <c r="G40" s="82">
        <v>17.6</v>
      </c>
      <c r="H40" s="82">
        <v>590726.6976</v>
      </c>
      <c r="I40" s="5">
        <v>1.86</v>
      </c>
      <c r="J40" s="58">
        <v>62433.504</v>
      </c>
      <c r="K40" s="82">
        <v>0.32</v>
      </c>
      <c r="L40" s="58">
        <v>10741.248</v>
      </c>
      <c r="M40" s="43">
        <v>0.06</v>
      </c>
      <c r="N40" s="58">
        <v>2013.984</v>
      </c>
      <c r="O40" s="82">
        <v>0.03</v>
      </c>
      <c r="P40" s="58">
        <v>1006.992</v>
      </c>
      <c r="Q40" s="12">
        <v>0.93</v>
      </c>
      <c r="R40" s="58">
        <v>31216.752</v>
      </c>
      <c r="S40" s="82">
        <v>0.09</v>
      </c>
      <c r="T40" s="58">
        <v>3020.9759999999997</v>
      </c>
      <c r="U40" s="82">
        <v>2.5</v>
      </c>
      <c r="V40" s="58">
        <v>83916</v>
      </c>
      <c r="W40" s="85">
        <v>0.4647504647504648</v>
      </c>
      <c r="X40" s="58">
        <v>15600</v>
      </c>
      <c r="Y40" s="38"/>
      <c r="Z40" s="58">
        <v>0</v>
      </c>
      <c r="AA40" s="58"/>
      <c r="AB40" s="58"/>
      <c r="AC40" s="169">
        <v>6.59</v>
      </c>
      <c r="AD40" s="58">
        <v>221202.576</v>
      </c>
      <c r="AE40" s="12">
        <v>0</v>
      </c>
      <c r="AF40" s="12">
        <v>0</v>
      </c>
      <c r="AG40" s="12"/>
      <c r="AH40" s="12">
        <v>0</v>
      </c>
      <c r="AI40" s="82"/>
      <c r="AJ40" s="64">
        <v>0</v>
      </c>
      <c r="AK40" s="56">
        <v>0.902</v>
      </c>
      <c r="AL40" s="66">
        <v>30276.8928</v>
      </c>
      <c r="AM40" s="56">
        <v>2.662</v>
      </c>
      <c r="AN40" s="66">
        <v>89353.7568</v>
      </c>
      <c r="AO40" s="17">
        <v>1.19</v>
      </c>
      <c r="AP40" s="74">
        <v>1.03</v>
      </c>
      <c r="AQ40" s="74">
        <v>0.16</v>
      </c>
      <c r="AR40" s="74">
        <v>39944.015999999996</v>
      </c>
    </row>
    <row r="41" spans="1:44" ht="12.75">
      <c r="A41" s="6">
        <v>34</v>
      </c>
      <c r="B41" s="80">
        <v>34</v>
      </c>
      <c r="C41" s="81" t="s">
        <v>124</v>
      </c>
      <c r="D41" s="80">
        <v>3385.6</v>
      </c>
      <c r="E41" s="85">
        <v>0.0006313799621935345</v>
      </c>
      <c r="F41" s="82">
        <v>17.599368620037808</v>
      </c>
      <c r="G41" s="82">
        <v>17.6</v>
      </c>
      <c r="H41" s="82">
        <v>715013.0688</v>
      </c>
      <c r="I41" s="5">
        <v>1.86</v>
      </c>
      <c r="J41" s="58">
        <v>75566.592</v>
      </c>
      <c r="K41" s="82">
        <v>0.32</v>
      </c>
      <c r="L41" s="58">
        <v>13000.704000000002</v>
      </c>
      <c r="M41" s="43">
        <v>0.06</v>
      </c>
      <c r="N41" s="58">
        <v>2437.632</v>
      </c>
      <c r="O41" s="82">
        <v>0.03</v>
      </c>
      <c r="P41" s="58">
        <v>1218.816</v>
      </c>
      <c r="Q41" s="12">
        <v>0.93</v>
      </c>
      <c r="R41" s="58">
        <v>37783.296</v>
      </c>
      <c r="S41" s="82">
        <v>0.09</v>
      </c>
      <c r="T41" s="58">
        <v>3656.4480000000003</v>
      </c>
      <c r="U41" s="82">
        <v>3</v>
      </c>
      <c r="V41" s="58">
        <v>121881.6</v>
      </c>
      <c r="W41" s="85">
        <v>0.29536862003780723</v>
      </c>
      <c r="X41" s="58">
        <v>12000</v>
      </c>
      <c r="Y41" s="38"/>
      <c r="Z41" s="58">
        <v>0</v>
      </c>
      <c r="AA41" s="58"/>
      <c r="AB41" s="58"/>
      <c r="AC41" s="169">
        <v>6.26</v>
      </c>
      <c r="AD41" s="58">
        <v>254326.27200000006</v>
      </c>
      <c r="AE41" s="12">
        <v>0</v>
      </c>
      <c r="AF41" s="12">
        <v>0</v>
      </c>
      <c r="AG41" s="12"/>
      <c r="AH41" s="12">
        <v>0</v>
      </c>
      <c r="AI41" s="82"/>
      <c r="AJ41" s="64">
        <v>0</v>
      </c>
      <c r="AK41" s="56">
        <v>0.902</v>
      </c>
      <c r="AL41" s="66">
        <v>36645.7344</v>
      </c>
      <c r="AM41" s="56">
        <v>2.662</v>
      </c>
      <c r="AN41" s="66">
        <v>108149.60639999999</v>
      </c>
      <c r="AO41" s="17">
        <v>1.19</v>
      </c>
      <c r="AP41" s="74">
        <v>1.03</v>
      </c>
      <c r="AQ41" s="74">
        <v>0.16</v>
      </c>
      <c r="AR41" s="74">
        <v>48346.367999999995</v>
      </c>
    </row>
    <row r="42" spans="1:44" ht="12.75">
      <c r="A42" s="6">
        <v>35</v>
      </c>
      <c r="B42" s="80">
        <v>35</v>
      </c>
      <c r="C42" s="81" t="s">
        <v>125</v>
      </c>
      <c r="D42" s="80">
        <v>3270.2</v>
      </c>
      <c r="E42" s="85">
        <v>0.00020830530242932355</v>
      </c>
      <c r="F42" s="82">
        <v>17.599791694697572</v>
      </c>
      <c r="G42" s="82">
        <v>17.6</v>
      </c>
      <c r="H42" s="82">
        <v>690658.0656</v>
      </c>
      <c r="I42" s="5">
        <v>1.86</v>
      </c>
      <c r="J42" s="58">
        <v>72990.864</v>
      </c>
      <c r="K42" s="82">
        <v>0.32</v>
      </c>
      <c r="L42" s="58">
        <v>12557.568</v>
      </c>
      <c r="M42" s="43">
        <v>0.06</v>
      </c>
      <c r="N42" s="58">
        <v>2354.544</v>
      </c>
      <c r="O42" s="82">
        <v>0.03</v>
      </c>
      <c r="P42" s="58">
        <v>1177.272</v>
      </c>
      <c r="Q42" s="12">
        <v>0.93</v>
      </c>
      <c r="R42" s="58">
        <v>36495.432</v>
      </c>
      <c r="S42" s="82">
        <v>0.09</v>
      </c>
      <c r="T42" s="58">
        <v>3531.816</v>
      </c>
      <c r="U42" s="82">
        <v>3.13</v>
      </c>
      <c r="V42" s="58">
        <v>122828.71199999998</v>
      </c>
      <c r="W42" s="85">
        <v>0.305791694697572</v>
      </c>
      <c r="X42" s="58">
        <v>12000</v>
      </c>
      <c r="Y42" s="38"/>
      <c r="Z42" s="58">
        <v>0</v>
      </c>
      <c r="AA42" s="58"/>
      <c r="AB42" s="58"/>
      <c r="AC42" s="169">
        <v>6.12</v>
      </c>
      <c r="AD42" s="58">
        <v>240163.488</v>
      </c>
      <c r="AE42" s="12">
        <v>0</v>
      </c>
      <c r="AF42" s="12">
        <v>0</v>
      </c>
      <c r="AG42" s="12"/>
      <c r="AH42" s="12">
        <v>0</v>
      </c>
      <c r="AI42" s="82"/>
      <c r="AJ42" s="64">
        <v>0</v>
      </c>
      <c r="AK42" s="56">
        <v>0.902</v>
      </c>
      <c r="AL42" s="66">
        <v>35396.644799999995</v>
      </c>
      <c r="AM42" s="56">
        <v>2.662</v>
      </c>
      <c r="AN42" s="66">
        <v>104463.26879999999</v>
      </c>
      <c r="AO42" s="17">
        <v>1.19</v>
      </c>
      <c r="AP42" s="74">
        <v>1.03</v>
      </c>
      <c r="AQ42" s="74">
        <v>0.16</v>
      </c>
      <c r="AR42" s="74">
        <v>46698.45599999999</v>
      </c>
    </row>
    <row r="43" spans="1:44" ht="12.75">
      <c r="A43" s="6">
        <v>36</v>
      </c>
      <c r="B43" s="80">
        <v>36</v>
      </c>
      <c r="C43" s="81" t="s">
        <v>126</v>
      </c>
      <c r="D43" s="80">
        <v>2204.3</v>
      </c>
      <c r="E43" s="85">
        <v>0.0023412421176800535</v>
      </c>
      <c r="F43" s="82">
        <v>17.59765875788232</v>
      </c>
      <c r="G43" s="82">
        <v>17.6</v>
      </c>
      <c r="H43" s="82">
        <v>465486.2304</v>
      </c>
      <c r="I43" s="5">
        <v>1.86</v>
      </c>
      <c r="J43" s="58">
        <v>49199.97600000001</v>
      </c>
      <c r="K43" s="82">
        <v>0.32</v>
      </c>
      <c r="L43" s="58">
        <v>8464.512</v>
      </c>
      <c r="M43" s="43">
        <v>0.06</v>
      </c>
      <c r="N43" s="58">
        <v>1587.096</v>
      </c>
      <c r="O43" s="82">
        <v>0.03</v>
      </c>
      <c r="P43" s="58">
        <v>793.548</v>
      </c>
      <c r="Q43" s="12">
        <v>0.93</v>
      </c>
      <c r="R43" s="58">
        <v>24599.988000000005</v>
      </c>
      <c r="S43" s="82">
        <v>0.09</v>
      </c>
      <c r="T43" s="58">
        <v>2380.6440000000002</v>
      </c>
      <c r="U43" s="82">
        <v>2.35</v>
      </c>
      <c r="V43" s="58">
        <v>62161.26</v>
      </c>
      <c r="W43" s="85">
        <v>0.45365875788232085</v>
      </c>
      <c r="X43" s="58">
        <v>12000</v>
      </c>
      <c r="Y43" s="38"/>
      <c r="Z43" s="58">
        <v>0</v>
      </c>
      <c r="AA43" s="58"/>
      <c r="AB43" s="58"/>
      <c r="AC43" s="169">
        <v>6.75</v>
      </c>
      <c r="AD43" s="58">
        <v>178548.3</v>
      </c>
      <c r="AE43" s="12">
        <v>0</v>
      </c>
      <c r="AF43" s="12">
        <v>0</v>
      </c>
      <c r="AG43" s="12"/>
      <c r="AH43" s="12">
        <v>0</v>
      </c>
      <c r="AI43" s="82"/>
      <c r="AJ43" s="64">
        <v>0</v>
      </c>
      <c r="AK43" s="56">
        <v>0.902</v>
      </c>
      <c r="AL43" s="66">
        <v>23859.343200000003</v>
      </c>
      <c r="AM43" s="56">
        <v>2.662</v>
      </c>
      <c r="AN43" s="66">
        <v>70414.15920000001</v>
      </c>
      <c r="AO43" s="17">
        <v>1.19</v>
      </c>
      <c r="AP43" s="74">
        <v>1.03</v>
      </c>
      <c r="AQ43" s="74">
        <v>0.16</v>
      </c>
      <c r="AR43" s="74">
        <v>31477.404000000002</v>
      </c>
    </row>
    <row r="44" spans="1:44" ht="12.75">
      <c r="A44" s="6">
        <v>37</v>
      </c>
      <c r="B44" s="80">
        <v>37</v>
      </c>
      <c r="C44" s="81" t="s">
        <v>216</v>
      </c>
      <c r="D44" s="80">
        <v>2499.2</v>
      </c>
      <c r="E44" s="85">
        <v>-0.004128040973110814</v>
      </c>
      <c r="F44" s="82">
        <v>17.604128040973112</v>
      </c>
      <c r="G44" s="82">
        <v>17.6</v>
      </c>
      <c r="H44" s="82">
        <v>527954.8415999999</v>
      </c>
      <c r="I44" s="5">
        <v>1.86</v>
      </c>
      <c r="J44" s="58">
        <v>55782.144</v>
      </c>
      <c r="K44" s="82">
        <v>0.32</v>
      </c>
      <c r="L44" s="58">
        <v>9596.928</v>
      </c>
      <c r="M44" s="43">
        <v>0.04</v>
      </c>
      <c r="N44" s="58">
        <v>1199.616</v>
      </c>
      <c r="O44" s="83"/>
      <c r="P44" s="58">
        <v>0</v>
      </c>
      <c r="Q44" s="12">
        <v>0.93</v>
      </c>
      <c r="R44" s="58">
        <v>27891.072</v>
      </c>
      <c r="S44" s="82">
        <v>0.09</v>
      </c>
      <c r="T44" s="58">
        <v>2699.1359999999995</v>
      </c>
      <c r="U44" s="82">
        <v>5.01</v>
      </c>
      <c r="V44" s="58">
        <v>150251.904</v>
      </c>
      <c r="W44" s="85">
        <v>0.40012804097311144</v>
      </c>
      <c r="X44" s="58">
        <v>12000</v>
      </c>
      <c r="Y44" s="38"/>
      <c r="Z44" s="58">
        <v>0</v>
      </c>
      <c r="AA44" s="58"/>
      <c r="AB44" s="58"/>
      <c r="AC44" s="169">
        <v>4.2</v>
      </c>
      <c r="AD44" s="58">
        <v>125959.68</v>
      </c>
      <c r="AE44" s="84">
        <v>0</v>
      </c>
      <c r="AF44" s="12">
        <v>0</v>
      </c>
      <c r="AG44" s="84"/>
      <c r="AH44" s="12">
        <v>0</v>
      </c>
      <c r="AI44" s="82"/>
      <c r="AJ44" s="64">
        <v>0</v>
      </c>
      <c r="AK44" s="56">
        <v>0.902</v>
      </c>
      <c r="AL44" s="66">
        <v>27051.340799999998</v>
      </c>
      <c r="AM44" s="56">
        <v>2.662</v>
      </c>
      <c r="AN44" s="66">
        <v>79834.44479999998</v>
      </c>
      <c r="AO44" s="17">
        <v>1.19</v>
      </c>
      <c r="AP44" s="74">
        <v>1.03</v>
      </c>
      <c r="AQ44" s="74">
        <v>0.16</v>
      </c>
      <c r="AR44" s="74">
        <v>35688.576</v>
      </c>
    </row>
    <row r="45" spans="1:44" ht="12.75">
      <c r="A45" s="6">
        <v>38</v>
      </c>
      <c r="B45" s="80">
        <v>38</v>
      </c>
      <c r="C45" s="81" t="s">
        <v>217</v>
      </c>
      <c r="D45" s="80">
        <v>2469.7</v>
      </c>
      <c r="E45" s="85">
        <v>0.0010925213588670601</v>
      </c>
      <c r="F45" s="82">
        <v>17.598907478641134</v>
      </c>
      <c r="G45" s="82">
        <v>17.6</v>
      </c>
      <c r="H45" s="82">
        <v>521568.26159999997</v>
      </c>
      <c r="I45" s="5">
        <v>1.86</v>
      </c>
      <c r="J45" s="58">
        <v>55123.704</v>
      </c>
      <c r="K45" s="82">
        <v>0.32</v>
      </c>
      <c r="L45" s="58">
        <v>9483.648</v>
      </c>
      <c r="M45" s="43">
        <v>0.06</v>
      </c>
      <c r="N45" s="58">
        <v>1778.1839999999997</v>
      </c>
      <c r="O45" s="83"/>
      <c r="P45" s="58">
        <v>0</v>
      </c>
      <c r="Q45" s="12">
        <v>0.93</v>
      </c>
      <c r="R45" s="58">
        <v>27561.852</v>
      </c>
      <c r="S45" s="82">
        <v>0.09</v>
      </c>
      <c r="T45" s="58">
        <v>2667.276</v>
      </c>
      <c r="U45" s="82">
        <v>4.61</v>
      </c>
      <c r="V45" s="58">
        <v>136623.804</v>
      </c>
      <c r="W45" s="85">
        <v>0.4049074786411306</v>
      </c>
      <c r="X45" s="58">
        <v>12000</v>
      </c>
      <c r="Y45" s="38"/>
      <c r="Z45" s="58">
        <v>0</v>
      </c>
      <c r="AA45" s="58"/>
      <c r="AB45" s="58"/>
      <c r="AC45" s="169">
        <v>4.57</v>
      </c>
      <c r="AD45" s="58">
        <v>135438.348</v>
      </c>
      <c r="AE45" s="84">
        <v>0</v>
      </c>
      <c r="AF45" s="12">
        <v>0</v>
      </c>
      <c r="AG45" s="84"/>
      <c r="AH45" s="12">
        <v>0</v>
      </c>
      <c r="AI45" s="82"/>
      <c r="AJ45" s="64">
        <v>0</v>
      </c>
      <c r="AK45" s="56">
        <v>0.902</v>
      </c>
      <c r="AL45" s="66">
        <v>26732.032799999997</v>
      </c>
      <c r="AM45" s="56">
        <v>2.662</v>
      </c>
      <c r="AN45" s="66">
        <v>78892.0968</v>
      </c>
      <c r="AO45" s="17">
        <v>1.19</v>
      </c>
      <c r="AP45" s="74">
        <v>1.03</v>
      </c>
      <c r="AQ45" s="74">
        <v>0.16</v>
      </c>
      <c r="AR45" s="74">
        <v>35267.316</v>
      </c>
    </row>
    <row r="46" spans="1:44" ht="12.75">
      <c r="A46" s="6">
        <v>39</v>
      </c>
      <c r="B46" s="80">
        <v>39</v>
      </c>
      <c r="C46" s="43" t="s">
        <v>248</v>
      </c>
      <c r="D46" s="80">
        <v>1042.1</v>
      </c>
      <c r="E46" s="85">
        <v>-0.00658084636791223</v>
      </c>
      <c r="F46" s="82">
        <v>10.026580846367912</v>
      </c>
      <c r="G46" s="82">
        <v>10.02</v>
      </c>
      <c r="H46" s="82">
        <v>125384.39879999997</v>
      </c>
      <c r="I46" s="5">
        <v>1.77</v>
      </c>
      <c r="J46" s="58">
        <v>22134.203999999998</v>
      </c>
      <c r="K46" s="82">
        <v>0.1</v>
      </c>
      <c r="L46" s="58">
        <v>1250.52</v>
      </c>
      <c r="M46" s="83">
        <v>0</v>
      </c>
      <c r="N46" s="58">
        <v>0</v>
      </c>
      <c r="O46" s="83"/>
      <c r="P46" s="58">
        <v>0</v>
      </c>
      <c r="Q46" s="43">
        <v>0.62</v>
      </c>
      <c r="R46" s="58">
        <v>7753.224</v>
      </c>
      <c r="S46" s="83">
        <v>0.08</v>
      </c>
      <c r="T46" s="58">
        <v>1000.4159999999999</v>
      </c>
      <c r="U46" s="82">
        <v>1.34</v>
      </c>
      <c r="V46" s="58">
        <v>16756.968</v>
      </c>
      <c r="W46" s="85">
        <v>1.007580846367911</v>
      </c>
      <c r="X46" s="58">
        <v>12600</v>
      </c>
      <c r="Y46" s="82">
        <v>0.68</v>
      </c>
      <c r="Z46" s="58">
        <v>8503.536</v>
      </c>
      <c r="AA46" s="58"/>
      <c r="AB46" s="58"/>
      <c r="AC46" s="169">
        <v>0.06</v>
      </c>
      <c r="AD46" s="58">
        <v>750.3119999999999</v>
      </c>
      <c r="AE46" s="84">
        <v>0</v>
      </c>
      <c r="AF46" s="12">
        <v>0</v>
      </c>
      <c r="AG46" s="84"/>
      <c r="AH46" s="12">
        <v>0</v>
      </c>
      <c r="AI46" s="82"/>
      <c r="AJ46" s="64">
        <v>0</v>
      </c>
      <c r="AK46" s="83">
        <v>0.517</v>
      </c>
      <c r="AL46" s="66">
        <v>6465.188399999999</v>
      </c>
      <c r="AM46" s="56">
        <v>2.662</v>
      </c>
      <c r="AN46" s="66">
        <v>33288.842399999994</v>
      </c>
      <c r="AO46" s="17">
        <v>1.19</v>
      </c>
      <c r="AP46" s="74">
        <v>1.03</v>
      </c>
      <c r="AQ46" s="74">
        <v>0.16</v>
      </c>
      <c r="AR46" s="74">
        <v>14881.187999999998</v>
      </c>
    </row>
    <row r="47" spans="1:44" ht="12.75">
      <c r="A47" s="6">
        <v>40</v>
      </c>
      <c r="B47" s="80">
        <v>40</v>
      </c>
      <c r="C47" s="43" t="s">
        <v>251</v>
      </c>
      <c r="D47" s="80">
        <v>1147.8</v>
      </c>
      <c r="E47" s="85">
        <v>0.004630423418721108</v>
      </c>
      <c r="F47" s="82">
        <v>18.19536957658128</v>
      </c>
      <c r="G47" s="82">
        <v>18.2</v>
      </c>
      <c r="H47" s="82">
        <v>217409.88840000003</v>
      </c>
      <c r="I47" s="5">
        <v>1.86</v>
      </c>
      <c r="J47" s="58">
        <v>25618.896</v>
      </c>
      <c r="K47" s="80">
        <v>0.32</v>
      </c>
      <c r="L47" s="58">
        <v>4407.552</v>
      </c>
      <c r="M47" s="80"/>
      <c r="N47" s="58">
        <v>0</v>
      </c>
      <c r="O47" s="80"/>
      <c r="P47" s="58">
        <v>0</v>
      </c>
      <c r="Q47" s="80">
        <v>0.93</v>
      </c>
      <c r="R47" s="58">
        <v>12809.448</v>
      </c>
      <c r="S47" s="80">
        <v>0.09</v>
      </c>
      <c r="T47" s="58">
        <v>1239.6239999999998</v>
      </c>
      <c r="U47" s="82">
        <v>3.1</v>
      </c>
      <c r="V47" s="58">
        <v>42698.16</v>
      </c>
      <c r="W47" s="85">
        <v>0.26136957658128596</v>
      </c>
      <c r="X47" s="58">
        <v>3600</v>
      </c>
      <c r="Y47" s="82">
        <v>0.62</v>
      </c>
      <c r="Z47" s="58">
        <v>8539.632</v>
      </c>
      <c r="AA47" s="82">
        <v>0.77</v>
      </c>
      <c r="AB47" s="58"/>
      <c r="AC47" s="169">
        <v>3.7</v>
      </c>
      <c r="AD47" s="58">
        <v>50962.32</v>
      </c>
      <c r="AE47" s="80"/>
      <c r="AF47" s="12">
        <v>0</v>
      </c>
      <c r="AG47" s="80"/>
      <c r="AH47" s="12">
        <v>0</v>
      </c>
      <c r="AI47" s="82">
        <v>1.79</v>
      </c>
      <c r="AJ47" s="64">
        <v>2054.562</v>
      </c>
      <c r="AK47" s="85">
        <v>0.902</v>
      </c>
      <c r="AL47" s="66">
        <v>12423.787199999999</v>
      </c>
      <c r="AM47" s="56">
        <v>2.662</v>
      </c>
      <c r="AN47" s="66">
        <v>36665.3232</v>
      </c>
      <c r="AO47" s="17">
        <v>1.19</v>
      </c>
      <c r="AP47" s="74">
        <v>1.03</v>
      </c>
      <c r="AQ47" s="74">
        <v>0.16</v>
      </c>
      <c r="AR47" s="74">
        <v>16390.584</v>
      </c>
    </row>
    <row r="48" spans="1:44" ht="12.75">
      <c r="A48" s="6">
        <v>41</v>
      </c>
      <c r="B48" s="80">
        <v>41</v>
      </c>
      <c r="C48" s="81" t="s">
        <v>127</v>
      </c>
      <c r="D48" s="168">
        <v>2252</v>
      </c>
      <c r="E48" s="85">
        <v>0.001950266429844305</v>
      </c>
      <c r="F48" s="82">
        <v>17.598049733570157</v>
      </c>
      <c r="G48" s="82">
        <v>17.6</v>
      </c>
      <c r="H48" s="82">
        <v>475569.69599999994</v>
      </c>
      <c r="I48" s="5">
        <v>1.86</v>
      </c>
      <c r="J48" s="58">
        <v>50264.64</v>
      </c>
      <c r="K48" s="82">
        <v>0.32</v>
      </c>
      <c r="L48" s="58">
        <v>8647.68</v>
      </c>
      <c r="M48" s="43">
        <v>0.06</v>
      </c>
      <c r="N48" s="58">
        <v>1621.44</v>
      </c>
      <c r="O48" s="82">
        <v>0.05</v>
      </c>
      <c r="P48" s="58">
        <v>1351.2</v>
      </c>
      <c r="Q48" s="12">
        <v>0.93</v>
      </c>
      <c r="R48" s="58">
        <v>25132.32</v>
      </c>
      <c r="S48" s="82">
        <v>0.09</v>
      </c>
      <c r="T48" s="58">
        <v>2432.16</v>
      </c>
      <c r="U48" s="82">
        <v>3.36</v>
      </c>
      <c r="V48" s="58">
        <v>90800.64</v>
      </c>
      <c r="W48" s="85">
        <v>0.44404973357015987</v>
      </c>
      <c r="X48" s="58">
        <v>12000</v>
      </c>
      <c r="Y48" s="38"/>
      <c r="Z48" s="58">
        <v>0</v>
      </c>
      <c r="AA48" s="58"/>
      <c r="AB48" s="58"/>
      <c r="AC48" s="169">
        <v>5.73</v>
      </c>
      <c r="AD48" s="58">
        <v>154847.52</v>
      </c>
      <c r="AE48" s="12">
        <v>0</v>
      </c>
      <c r="AF48" s="12">
        <v>0</v>
      </c>
      <c r="AG48" s="12"/>
      <c r="AH48" s="12">
        <v>0</v>
      </c>
      <c r="AI48" s="82"/>
      <c r="AJ48" s="64">
        <v>0</v>
      </c>
      <c r="AK48" s="85">
        <v>0.902</v>
      </c>
      <c r="AL48" s="66">
        <v>24375.648</v>
      </c>
      <c r="AM48" s="56">
        <v>2.662</v>
      </c>
      <c r="AN48" s="66">
        <v>71937.88799999999</v>
      </c>
      <c r="AO48" s="17">
        <v>1.19</v>
      </c>
      <c r="AP48" s="74">
        <v>1.03</v>
      </c>
      <c r="AQ48" s="74">
        <v>0.16</v>
      </c>
      <c r="AR48" s="74">
        <v>32158.56</v>
      </c>
    </row>
    <row r="49" spans="1:45" ht="12.75">
      <c r="A49" s="6">
        <v>42</v>
      </c>
      <c r="B49" s="80">
        <v>42</v>
      </c>
      <c r="C49" s="81" t="s">
        <v>128</v>
      </c>
      <c r="D49" s="80">
        <v>5744.1</v>
      </c>
      <c r="E49" s="85">
        <v>0.002634981981511686</v>
      </c>
      <c r="F49" s="82">
        <v>17.59736501801849</v>
      </c>
      <c r="G49" s="82">
        <v>17.6</v>
      </c>
      <c r="H49" s="82">
        <v>1212972.2928000002</v>
      </c>
      <c r="I49" s="5">
        <v>1.86</v>
      </c>
      <c r="J49" s="58">
        <v>128208.31200000002</v>
      </c>
      <c r="K49" s="82">
        <v>0.32</v>
      </c>
      <c r="L49" s="58">
        <v>22057.344</v>
      </c>
      <c r="M49" s="43">
        <v>0.06</v>
      </c>
      <c r="N49" s="58">
        <v>4135.752</v>
      </c>
      <c r="O49" s="82">
        <v>0.05</v>
      </c>
      <c r="P49" s="58">
        <v>3446.46</v>
      </c>
      <c r="Q49" s="12">
        <v>0.93</v>
      </c>
      <c r="R49" s="58">
        <v>64104.15600000001</v>
      </c>
      <c r="S49" s="82">
        <v>0.09</v>
      </c>
      <c r="T49" s="58">
        <v>6203.628000000001</v>
      </c>
      <c r="U49" s="82">
        <v>2.44</v>
      </c>
      <c r="V49" s="58">
        <v>168187.24800000002</v>
      </c>
      <c r="W49" s="85">
        <v>0.31336501801848854</v>
      </c>
      <c r="X49" s="58">
        <v>21600</v>
      </c>
      <c r="Y49" s="38"/>
      <c r="Z49" s="58">
        <v>0</v>
      </c>
      <c r="AA49" s="58"/>
      <c r="AB49" s="58"/>
      <c r="AC49" s="169">
        <v>6.78</v>
      </c>
      <c r="AD49" s="58">
        <v>467339.9760000001</v>
      </c>
      <c r="AE49" s="12">
        <v>0</v>
      </c>
      <c r="AF49" s="12">
        <v>0</v>
      </c>
      <c r="AG49" s="12"/>
      <c r="AH49" s="12">
        <v>0</v>
      </c>
      <c r="AI49" s="82"/>
      <c r="AJ49" s="64">
        <v>0</v>
      </c>
      <c r="AK49" s="85">
        <v>0.902</v>
      </c>
      <c r="AL49" s="66">
        <v>62174.1384</v>
      </c>
      <c r="AM49" s="56">
        <v>2.662</v>
      </c>
      <c r="AN49" s="66">
        <v>183489.5304</v>
      </c>
      <c r="AO49" s="17">
        <v>1.19</v>
      </c>
      <c r="AP49" s="74">
        <v>1.03</v>
      </c>
      <c r="AQ49" s="74">
        <v>0.16</v>
      </c>
      <c r="AR49" s="74">
        <v>82025.748</v>
      </c>
      <c r="AS49" s="8" t="s">
        <v>301</v>
      </c>
    </row>
    <row r="50" spans="1:44" ht="12.75">
      <c r="A50" s="6">
        <v>43</v>
      </c>
      <c r="B50" s="80">
        <v>43</v>
      </c>
      <c r="C50" s="81" t="s">
        <v>27</v>
      </c>
      <c r="D50" s="12">
        <v>6008.7</v>
      </c>
      <c r="E50" s="85">
        <v>-0.0003529548820893069</v>
      </c>
      <c r="F50" s="82">
        <v>17.60035295488209</v>
      </c>
      <c r="G50" s="82">
        <v>17.6</v>
      </c>
      <c r="H50" s="82">
        <v>1269062.8896</v>
      </c>
      <c r="I50" s="5">
        <v>1.86</v>
      </c>
      <c r="J50" s="58">
        <v>134114.184</v>
      </c>
      <c r="K50" s="82">
        <v>0.32</v>
      </c>
      <c r="L50" s="58">
        <v>23073.408</v>
      </c>
      <c r="M50" s="12">
        <v>0.05</v>
      </c>
      <c r="N50" s="58">
        <v>3605.22</v>
      </c>
      <c r="O50" s="82">
        <v>0.05</v>
      </c>
      <c r="P50" s="58">
        <v>3605.22</v>
      </c>
      <c r="Q50" s="12">
        <v>0.93</v>
      </c>
      <c r="R50" s="58">
        <v>67057.092</v>
      </c>
      <c r="S50" s="82">
        <v>0.09</v>
      </c>
      <c r="T50" s="58">
        <v>6489.396000000001</v>
      </c>
      <c r="U50" s="82">
        <v>2.85</v>
      </c>
      <c r="V50" s="58">
        <v>205497.54</v>
      </c>
      <c r="W50" s="85">
        <v>0.21635295488208764</v>
      </c>
      <c r="X50" s="58">
        <v>15600</v>
      </c>
      <c r="Y50" s="38"/>
      <c r="Z50" s="58">
        <v>0</v>
      </c>
      <c r="AA50" s="58"/>
      <c r="AB50" s="58"/>
      <c r="AC50" s="169">
        <v>6.48</v>
      </c>
      <c r="AD50" s="58">
        <v>467236.51200000005</v>
      </c>
      <c r="AE50" s="12">
        <v>0</v>
      </c>
      <c r="AF50" s="12">
        <v>0</v>
      </c>
      <c r="AG50" s="12"/>
      <c r="AH50" s="12">
        <v>0</v>
      </c>
      <c r="AI50" s="82"/>
      <c r="AJ50" s="64">
        <v>0</v>
      </c>
      <c r="AK50" s="85">
        <v>0.902</v>
      </c>
      <c r="AL50" s="66">
        <v>65038.1688</v>
      </c>
      <c r="AM50" s="56">
        <v>2.662</v>
      </c>
      <c r="AN50" s="66">
        <v>191941.9128</v>
      </c>
      <c r="AO50" s="17">
        <v>1.19</v>
      </c>
      <c r="AP50" s="74">
        <v>1.03</v>
      </c>
      <c r="AQ50" s="74">
        <v>0.16</v>
      </c>
      <c r="AR50" s="74">
        <v>85804.23599999999</v>
      </c>
    </row>
    <row r="51" spans="1:44" ht="12.75">
      <c r="A51" s="6">
        <v>44</v>
      </c>
      <c r="B51" s="80">
        <v>44</v>
      </c>
      <c r="C51" s="81" t="s">
        <v>28</v>
      </c>
      <c r="D51" s="12">
        <v>5460.9</v>
      </c>
      <c r="E51" s="85">
        <v>-0.0020559980955532353</v>
      </c>
      <c r="F51" s="82">
        <v>17.602055998095555</v>
      </c>
      <c r="G51" s="82">
        <v>17.6</v>
      </c>
      <c r="H51" s="82">
        <v>1153476.8111999999</v>
      </c>
      <c r="I51" s="5">
        <v>1.86</v>
      </c>
      <c r="J51" s="58">
        <v>121887.288</v>
      </c>
      <c r="K51" s="82">
        <v>0.32</v>
      </c>
      <c r="L51" s="58">
        <v>20969.856</v>
      </c>
      <c r="M51" s="12">
        <v>0.06</v>
      </c>
      <c r="N51" s="58">
        <v>3931.847999999999</v>
      </c>
      <c r="O51" s="82">
        <v>0.1</v>
      </c>
      <c r="P51" s="58">
        <v>6553.08</v>
      </c>
      <c r="Q51" s="12">
        <v>0.93</v>
      </c>
      <c r="R51" s="58">
        <v>60943.644</v>
      </c>
      <c r="S51" s="82">
        <v>0.09</v>
      </c>
      <c r="T51" s="58">
        <v>5897.771999999999</v>
      </c>
      <c r="U51" s="82">
        <v>2.85</v>
      </c>
      <c r="V51" s="58">
        <v>186762.78</v>
      </c>
      <c r="W51" s="85">
        <v>0.23805599809555203</v>
      </c>
      <c r="X51" s="58">
        <v>15600</v>
      </c>
      <c r="Y51" s="38"/>
      <c r="Z51" s="58">
        <v>0</v>
      </c>
      <c r="AA51" s="58"/>
      <c r="AB51" s="58"/>
      <c r="AC51" s="169">
        <v>6.4</v>
      </c>
      <c r="AD51" s="58">
        <v>419397.12</v>
      </c>
      <c r="AE51" s="12">
        <v>0</v>
      </c>
      <c r="AF51" s="12">
        <v>0</v>
      </c>
      <c r="AG51" s="12"/>
      <c r="AH51" s="12">
        <v>0</v>
      </c>
      <c r="AI51" s="82"/>
      <c r="AJ51" s="64">
        <v>0</v>
      </c>
      <c r="AK51" s="85">
        <v>0.902</v>
      </c>
      <c r="AL51" s="66">
        <v>59108.781599999995</v>
      </c>
      <c r="AM51" s="56">
        <v>2.662</v>
      </c>
      <c r="AN51" s="66">
        <v>174442.98959999997</v>
      </c>
      <c r="AO51" s="17">
        <v>1.19</v>
      </c>
      <c r="AP51" s="74">
        <v>1.03</v>
      </c>
      <c r="AQ51" s="74">
        <v>0.16</v>
      </c>
      <c r="AR51" s="74">
        <v>77981.652</v>
      </c>
    </row>
    <row r="52" spans="1:44" ht="12.75">
      <c r="A52" s="6">
        <v>45</v>
      </c>
      <c r="B52" s="80">
        <v>45</v>
      </c>
      <c r="C52" s="81" t="s">
        <v>109</v>
      </c>
      <c r="D52" s="80">
        <v>1451.7</v>
      </c>
      <c r="E52" s="85">
        <v>-0.004000000000001336</v>
      </c>
      <c r="F52" s="82">
        <v>17.604000000000003</v>
      </c>
      <c r="G52" s="82">
        <v>17.6</v>
      </c>
      <c r="H52" s="82">
        <v>306668.7216</v>
      </c>
      <c r="I52" s="5">
        <v>1.86</v>
      </c>
      <c r="J52" s="58">
        <v>32401.944000000003</v>
      </c>
      <c r="K52" s="82">
        <v>0.32</v>
      </c>
      <c r="L52" s="58">
        <v>5574.528</v>
      </c>
      <c r="M52" s="43">
        <v>0.06</v>
      </c>
      <c r="N52" s="58">
        <v>1045.2240000000002</v>
      </c>
      <c r="O52" s="83"/>
      <c r="P52" s="58">
        <v>0</v>
      </c>
      <c r="Q52" s="12">
        <v>0.93</v>
      </c>
      <c r="R52" s="58">
        <v>16200.972000000002</v>
      </c>
      <c r="S52" s="82">
        <v>0.09</v>
      </c>
      <c r="T52" s="58">
        <v>1567.8359999999998</v>
      </c>
      <c r="U52" s="82">
        <v>4.86</v>
      </c>
      <c r="V52" s="58">
        <v>84663.144</v>
      </c>
      <c r="W52" s="38"/>
      <c r="X52" s="58"/>
      <c r="Y52" s="38"/>
      <c r="Z52" s="58">
        <v>0</v>
      </c>
      <c r="AA52" s="58"/>
      <c r="AB52" s="58"/>
      <c r="AC52" s="169">
        <v>4.73</v>
      </c>
      <c r="AD52" s="58">
        <v>82398.49200000001</v>
      </c>
      <c r="AE52" s="84">
        <v>0</v>
      </c>
      <c r="AF52" s="12">
        <v>0</v>
      </c>
      <c r="AG52" s="84"/>
      <c r="AH52" s="12">
        <v>0</v>
      </c>
      <c r="AI52" s="82"/>
      <c r="AJ52" s="64">
        <v>0</v>
      </c>
      <c r="AK52" s="85">
        <v>0.902</v>
      </c>
      <c r="AL52" s="66">
        <v>15713.200800000002</v>
      </c>
      <c r="AM52" s="56">
        <v>2.662</v>
      </c>
      <c r="AN52" s="66">
        <v>46373.1048</v>
      </c>
      <c r="AO52" s="17">
        <v>1.19</v>
      </c>
      <c r="AP52" s="74">
        <v>1.03</v>
      </c>
      <c r="AQ52" s="74">
        <v>0.16</v>
      </c>
      <c r="AR52" s="74">
        <v>20730.275999999998</v>
      </c>
    </row>
    <row r="53" spans="1:44" ht="12.75">
      <c r="A53" s="6">
        <v>46</v>
      </c>
      <c r="B53" s="80">
        <v>46</v>
      </c>
      <c r="C53" s="81" t="s">
        <v>110</v>
      </c>
      <c r="D53" s="80">
        <v>1470.4</v>
      </c>
      <c r="E53" s="85">
        <v>-0.004000000000001336</v>
      </c>
      <c r="F53" s="82">
        <v>17.604000000000003</v>
      </c>
      <c r="G53" s="82">
        <v>17.6</v>
      </c>
      <c r="H53" s="82">
        <v>310619.0592</v>
      </c>
      <c r="I53" s="5">
        <v>1.86</v>
      </c>
      <c r="J53" s="58">
        <v>32819.32800000001</v>
      </c>
      <c r="K53" s="82">
        <v>0.32</v>
      </c>
      <c r="L53" s="58">
        <v>5646.336</v>
      </c>
      <c r="M53" s="43">
        <v>0.06</v>
      </c>
      <c r="N53" s="58">
        <v>1058.688</v>
      </c>
      <c r="O53" s="83"/>
      <c r="P53" s="58">
        <v>0</v>
      </c>
      <c r="Q53" s="12">
        <v>0.93</v>
      </c>
      <c r="R53" s="58">
        <v>16409.664000000004</v>
      </c>
      <c r="S53" s="82">
        <v>0.09</v>
      </c>
      <c r="T53" s="58">
        <v>1588.0320000000002</v>
      </c>
      <c r="U53" s="82">
        <v>4.82</v>
      </c>
      <c r="V53" s="58">
        <v>85047.936</v>
      </c>
      <c r="W53" s="38"/>
      <c r="X53" s="58"/>
      <c r="Y53" s="38"/>
      <c r="Z53" s="58">
        <v>0</v>
      </c>
      <c r="AA53" s="58"/>
      <c r="AB53" s="58"/>
      <c r="AC53" s="169">
        <v>4.77</v>
      </c>
      <c r="AD53" s="58">
        <v>84165.696</v>
      </c>
      <c r="AE53" s="84">
        <v>0</v>
      </c>
      <c r="AF53" s="12">
        <v>0</v>
      </c>
      <c r="AG53" s="84"/>
      <c r="AH53" s="12">
        <v>0</v>
      </c>
      <c r="AI53" s="82"/>
      <c r="AJ53" s="64">
        <v>0</v>
      </c>
      <c r="AK53" s="85">
        <v>0.902</v>
      </c>
      <c r="AL53" s="66">
        <v>15915.609600000003</v>
      </c>
      <c r="AM53" s="56">
        <v>2.662</v>
      </c>
      <c r="AN53" s="66">
        <v>46970.4576</v>
      </c>
      <c r="AO53" s="17">
        <v>1.19</v>
      </c>
      <c r="AP53" s="74">
        <v>1.03</v>
      </c>
      <c r="AQ53" s="74">
        <v>0.16</v>
      </c>
      <c r="AR53" s="74">
        <v>20997.312</v>
      </c>
    </row>
    <row r="54" spans="1:44" ht="12.75">
      <c r="A54" s="6">
        <v>47</v>
      </c>
      <c r="B54" s="80">
        <v>47</v>
      </c>
      <c r="C54" s="81" t="s">
        <v>114</v>
      </c>
      <c r="D54" s="80">
        <v>2573.8</v>
      </c>
      <c r="E54" s="85">
        <v>-0.002530577356438357</v>
      </c>
      <c r="F54" s="82">
        <v>17.60253057735644</v>
      </c>
      <c r="G54" s="82">
        <v>17.6</v>
      </c>
      <c r="H54" s="82">
        <v>543664.7184000001</v>
      </c>
      <c r="I54" s="5">
        <v>1.86</v>
      </c>
      <c r="J54" s="58">
        <v>57447.216000000015</v>
      </c>
      <c r="K54" s="82">
        <v>0.32</v>
      </c>
      <c r="L54" s="58">
        <v>9883.392000000002</v>
      </c>
      <c r="M54" s="43">
        <v>0.06</v>
      </c>
      <c r="N54" s="58">
        <v>1853.136</v>
      </c>
      <c r="O54" s="82">
        <v>0.05</v>
      </c>
      <c r="P54" s="58">
        <v>1544.28</v>
      </c>
      <c r="Q54" s="12">
        <v>0.93</v>
      </c>
      <c r="R54" s="58">
        <v>28723.608000000007</v>
      </c>
      <c r="S54" s="82">
        <v>0.09</v>
      </c>
      <c r="T54" s="58">
        <v>2779.7039999999997</v>
      </c>
      <c r="U54" s="82">
        <v>4.2</v>
      </c>
      <c r="V54" s="58">
        <v>129719.52</v>
      </c>
      <c r="W54" s="85">
        <v>0.388530577356438</v>
      </c>
      <c r="X54" s="58">
        <v>12000</v>
      </c>
      <c r="Y54" s="38"/>
      <c r="Z54" s="58">
        <v>0</v>
      </c>
      <c r="AA54" s="58"/>
      <c r="AB54" s="58"/>
      <c r="AC54" s="169">
        <v>4.95</v>
      </c>
      <c r="AD54" s="58">
        <v>152883.72</v>
      </c>
      <c r="AE54" s="12">
        <v>0</v>
      </c>
      <c r="AF54" s="12">
        <v>0</v>
      </c>
      <c r="AG54" s="12"/>
      <c r="AH54" s="12">
        <v>0</v>
      </c>
      <c r="AI54" s="82"/>
      <c r="AJ54" s="64">
        <v>0</v>
      </c>
      <c r="AK54" s="85">
        <v>0.902</v>
      </c>
      <c r="AL54" s="66">
        <v>27858.811200000004</v>
      </c>
      <c r="AM54" s="56">
        <v>2.662</v>
      </c>
      <c r="AN54" s="66">
        <v>82217.4672</v>
      </c>
      <c r="AO54" s="17">
        <v>1.19</v>
      </c>
      <c r="AP54" s="74">
        <v>1.03</v>
      </c>
      <c r="AQ54" s="74">
        <v>0.16</v>
      </c>
      <c r="AR54" s="74">
        <v>36753.864</v>
      </c>
    </row>
    <row r="55" spans="1:44" ht="12.75">
      <c r="A55" s="6">
        <v>48</v>
      </c>
      <c r="B55" s="80">
        <v>48</v>
      </c>
      <c r="C55" s="81" t="s">
        <v>115</v>
      </c>
      <c r="D55" s="80">
        <v>2491.8</v>
      </c>
      <c r="E55" s="85">
        <v>0.0046836824785287945</v>
      </c>
      <c r="F55" s="82">
        <v>17.595316317521473</v>
      </c>
      <c r="G55" s="82">
        <v>17.6</v>
      </c>
      <c r="H55" s="82">
        <v>526128.1104000001</v>
      </c>
      <c r="I55" s="5">
        <v>1.86</v>
      </c>
      <c r="J55" s="58">
        <v>55616.97600000001</v>
      </c>
      <c r="K55" s="82">
        <v>0.32</v>
      </c>
      <c r="L55" s="58">
        <v>9568.512</v>
      </c>
      <c r="M55" s="43">
        <v>0.06</v>
      </c>
      <c r="N55" s="58">
        <v>1794.096</v>
      </c>
      <c r="O55" s="83"/>
      <c r="P55" s="58">
        <v>0</v>
      </c>
      <c r="Q55" s="12">
        <v>0.93</v>
      </c>
      <c r="R55" s="58">
        <v>27808.488000000005</v>
      </c>
      <c r="S55" s="82">
        <v>0.09</v>
      </c>
      <c r="T55" s="58">
        <v>2691.1440000000002</v>
      </c>
      <c r="U55" s="82">
        <v>4.3</v>
      </c>
      <c r="V55" s="58">
        <v>128576.88</v>
      </c>
      <c r="W55" s="85">
        <v>0.4013163175214704</v>
      </c>
      <c r="X55" s="58">
        <v>12000</v>
      </c>
      <c r="Y55" s="38"/>
      <c r="Z55" s="58">
        <v>0</v>
      </c>
      <c r="AA55" s="58"/>
      <c r="AB55" s="58"/>
      <c r="AC55" s="169">
        <v>4.88</v>
      </c>
      <c r="AD55" s="58">
        <v>145919.80800000002</v>
      </c>
      <c r="AE55" s="84">
        <v>0</v>
      </c>
      <c r="AF55" s="12">
        <v>0</v>
      </c>
      <c r="AG55" s="84"/>
      <c r="AH55" s="12">
        <v>0</v>
      </c>
      <c r="AI55" s="82"/>
      <c r="AJ55" s="64">
        <v>0</v>
      </c>
      <c r="AK55" s="85">
        <v>0.902</v>
      </c>
      <c r="AL55" s="66">
        <v>26971.243200000004</v>
      </c>
      <c r="AM55" s="56">
        <v>2.662</v>
      </c>
      <c r="AN55" s="66">
        <v>79598.0592</v>
      </c>
      <c r="AO55" s="17">
        <v>1.19</v>
      </c>
      <c r="AP55" s="74">
        <v>1.03</v>
      </c>
      <c r="AQ55" s="74">
        <v>0.16</v>
      </c>
      <c r="AR55" s="74">
        <v>35582.904</v>
      </c>
    </row>
    <row r="56" spans="1:44" ht="12.75">
      <c r="A56" s="6">
        <v>49</v>
      </c>
      <c r="B56" s="80">
        <v>49</v>
      </c>
      <c r="C56" s="81" t="s">
        <v>116</v>
      </c>
      <c r="D56" s="80">
        <v>2544.5</v>
      </c>
      <c r="E56" s="85">
        <v>-0.0019013558655913698</v>
      </c>
      <c r="F56" s="82">
        <v>17.601901355865593</v>
      </c>
      <c r="G56" s="82">
        <v>17.6</v>
      </c>
      <c r="H56" s="82">
        <v>537456.456</v>
      </c>
      <c r="I56" s="5">
        <v>1.86</v>
      </c>
      <c r="J56" s="58">
        <v>56793.24</v>
      </c>
      <c r="K56" s="82">
        <v>0.32</v>
      </c>
      <c r="L56" s="58">
        <v>9770.88</v>
      </c>
      <c r="M56" s="43">
        <v>0.07</v>
      </c>
      <c r="N56" s="58">
        <v>2137.38</v>
      </c>
      <c r="O56" s="83"/>
      <c r="P56" s="58">
        <v>0</v>
      </c>
      <c r="Q56" s="12">
        <v>0.93</v>
      </c>
      <c r="R56" s="58">
        <v>28396.62</v>
      </c>
      <c r="S56" s="82">
        <v>0.09</v>
      </c>
      <c r="T56" s="58">
        <v>2748.06</v>
      </c>
      <c r="U56" s="82">
        <v>4.3</v>
      </c>
      <c r="V56" s="58">
        <v>131296.2</v>
      </c>
      <c r="W56" s="85">
        <v>0.11790135586559246</v>
      </c>
      <c r="X56" s="58">
        <v>3600</v>
      </c>
      <c r="Y56" s="38"/>
      <c r="Z56" s="58">
        <v>0</v>
      </c>
      <c r="AA56" s="58"/>
      <c r="AB56" s="58"/>
      <c r="AC56" s="169">
        <v>5.16</v>
      </c>
      <c r="AD56" s="58">
        <v>157555.44</v>
      </c>
      <c r="AE56" s="84">
        <v>0</v>
      </c>
      <c r="AF56" s="12">
        <v>0</v>
      </c>
      <c r="AG56" s="84"/>
      <c r="AH56" s="12">
        <v>0</v>
      </c>
      <c r="AI56" s="82"/>
      <c r="AJ56" s="64">
        <v>0</v>
      </c>
      <c r="AK56" s="85">
        <v>0.902</v>
      </c>
      <c r="AL56" s="66">
        <v>27541.668</v>
      </c>
      <c r="AM56" s="56">
        <v>2.662</v>
      </c>
      <c r="AN56" s="66">
        <v>81281.508</v>
      </c>
      <c r="AO56" s="17">
        <v>1.19</v>
      </c>
      <c r="AP56" s="74">
        <v>1.03</v>
      </c>
      <c r="AQ56" s="74">
        <v>0.16</v>
      </c>
      <c r="AR56" s="74">
        <v>36335.46</v>
      </c>
    </row>
    <row r="57" spans="1:46" ht="12.75">
      <c r="A57" s="114"/>
      <c r="B57" s="38"/>
      <c r="C57" s="163" t="s">
        <v>29</v>
      </c>
      <c r="D57" s="171">
        <v>204299.12</v>
      </c>
      <c r="E57" s="85"/>
      <c r="F57" s="82">
        <v>14.2990686791994</v>
      </c>
      <c r="G57" s="82"/>
      <c r="H57" s="171">
        <v>43411297.108760014</v>
      </c>
      <c r="I57" s="172"/>
      <c r="J57" s="171">
        <v>4536698.1384</v>
      </c>
      <c r="K57" s="171">
        <v>0.3197603318115123</v>
      </c>
      <c r="L57" s="171">
        <v>783921.0527999997</v>
      </c>
      <c r="M57" s="171">
        <v>0.06276535943962952</v>
      </c>
      <c r="N57" s="171">
        <v>153874.89240000007</v>
      </c>
      <c r="O57" s="165">
        <v>0.02172081553753144</v>
      </c>
      <c r="P57" s="171">
        <v>53250.52200000001</v>
      </c>
      <c r="Q57" s="171">
        <v>0.9294008295287811</v>
      </c>
      <c r="R57" s="171">
        <v>2278509.2592</v>
      </c>
      <c r="S57" s="171">
        <v>0.08841271465094902</v>
      </c>
      <c r="T57" s="171">
        <v>216751.67759999994</v>
      </c>
      <c r="U57" s="171">
        <v>3.4748084720090815</v>
      </c>
      <c r="V57" s="171">
        <v>8518803.756000001</v>
      </c>
      <c r="W57" s="173"/>
      <c r="X57" s="171">
        <v>795600</v>
      </c>
      <c r="Y57" s="70">
        <v>0</v>
      </c>
      <c r="Z57" s="171">
        <v>0</v>
      </c>
      <c r="AA57" s="171"/>
      <c r="AB57" s="171">
        <v>0</v>
      </c>
      <c r="AC57" s="171">
        <v>5.8039062982748035</v>
      </c>
      <c r="AD57" s="171">
        <v>14228795.3916</v>
      </c>
      <c r="AE57" s="171"/>
      <c r="AF57" s="171">
        <v>151207.56</v>
      </c>
      <c r="AG57" s="171"/>
      <c r="AH57" s="171">
        <v>32022.456000000006</v>
      </c>
      <c r="AI57" s="171">
        <v>0.03429385794711205</v>
      </c>
      <c r="AJ57" s="171">
        <v>7006.205</v>
      </c>
      <c r="AK57" s="174">
        <v>0.9020000000000001</v>
      </c>
      <c r="AL57" s="171">
        <v>2211333.6748800008</v>
      </c>
      <c r="AM57" s="165">
        <v>2.6619999999999995</v>
      </c>
      <c r="AN57" s="171">
        <v>6526131.08928</v>
      </c>
      <c r="AO57" s="17">
        <v>0</v>
      </c>
      <c r="AP57" s="74"/>
      <c r="AQ57" s="74"/>
      <c r="AR57" s="171">
        <v>2917391.4335999996</v>
      </c>
      <c r="AS57" s="28"/>
      <c r="AT57" s="28"/>
    </row>
    <row r="58" spans="1:44" ht="12.75">
      <c r="A58" s="6">
        <v>50</v>
      </c>
      <c r="B58" s="80">
        <v>1</v>
      </c>
      <c r="C58" s="81" t="s">
        <v>167</v>
      </c>
      <c r="D58" s="80">
        <v>2014.9</v>
      </c>
      <c r="E58" s="85">
        <v>-0.0028907638096171695</v>
      </c>
      <c r="F58" s="82">
        <v>17.60289076380962</v>
      </c>
      <c r="G58" s="82">
        <v>17.6</v>
      </c>
      <c r="H58" s="82">
        <v>425616.77520000003</v>
      </c>
      <c r="I58" s="5">
        <v>1.86</v>
      </c>
      <c r="J58" s="58">
        <v>44972.56800000001</v>
      </c>
      <c r="K58" s="82">
        <v>0.32</v>
      </c>
      <c r="L58" s="58">
        <v>7737.216</v>
      </c>
      <c r="M58" s="43">
        <v>0.07</v>
      </c>
      <c r="N58" s="58">
        <v>1692.516</v>
      </c>
      <c r="O58" s="82">
        <v>0.01</v>
      </c>
      <c r="P58" s="58">
        <v>241.788</v>
      </c>
      <c r="Q58" s="12">
        <v>0.93</v>
      </c>
      <c r="R58" s="58">
        <v>22486.284000000003</v>
      </c>
      <c r="S58" s="82">
        <v>0.09</v>
      </c>
      <c r="T58" s="58">
        <v>2176.092</v>
      </c>
      <c r="U58" s="82">
        <v>4</v>
      </c>
      <c r="V58" s="58">
        <v>96715.2</v>
      </c>
      <c r="W58" s="85">
        <v>0.14889076380961833</v>
      </c>
      <c r="X58" s="58">
        <v>3600</v>
      </c>
      <c r="Y58" s="82"/>
      <c r="Z58" s="58">
        <v>0</v>
      </c>
      <c r="AA58" s="58"/>
      <c r="AB58" s="58"/>
      <c r="AC58" s="169">
        <v>5.42</v>
      </c>
      <c r="AD58" s="58">
        <v>131049.09600000002</v>
      </c>
      <c r="AE58" s="12">
        <v>0</v>
      </c>
      <c r="AF58" s="12">
        <v>0</v>
      </c>
      <c r="AG58" s="12"/>
      <c r="AH58" s="12">
        <v>0</v>
      </c>
      <c r="AI58" s="82"/>
      <c r="AJ58" s="64">
        <v>0</v>
      </c>
      <c r="AK58" s="85">
        <v>0.902</v>
      </c>
      <c r="AL58" s="66">
        <v>21809.2776</v>
      </c>
      <c r="AM58" s="56">
        <v>2.662</v>
      </c>
      <c r="AN58" s="66">
        <v>64363.9656</v>
      </c>
      <c r="AO58" s="17">
        <v>1.19</v>
      </c>
      <c r="AP58" s="74">
        <v>1.03</v>
      </c>
      <c r="AQ58" s="74">
        <v>0.16</v>
      </c>
      <c r="AR58" s="74">
        <v>28772.772000000004</v>
      </c>
    </row>
    <row r="59" spans="1:44" ht="12.75">
      <c r="A59" s="6">
        <v>51</v>
      </c>
      <c r="B59" s="80">
        <v>2</v>
      </c>
      <c r="C59" s="81" t="s">
        <v>31</v>
      </c>
      <c r="D59" s="80">
        <v>5216.4</v>
      </c>
      <c r="E59" s="85">
        <v>-0.0032140173299595176</v>
      </c>
      <c r="F59" s="82">
        <v>17.60321401732996</v>
      </c>
      <c r="G59" s="82">
        <v>17.6</v>
      </c>
      <c r="H59" s="82">
        <v>1101904.8672</v>
      </c>
      <c r="I59" s="5">
        <v>1.86</v>
      </c>
      <c r="J59" s="58">
        <v>116430.04799999998</v>
      </c>
      <c r="K59" s="82">
        <v>0.32</v>
      </c>
      <c r="L59" s="58">
        <v>20030.976</v>
      </c>
      <c r="M59" s="43">
        <v>0.06</v>
      </c>
      <c r="N59" s="58">
        <v>3755.808</v>
      </c>
      <c r="O59" s="82">
        <v>0.08</v>
      </c>
      <c r="P59" s="58">
        <v>5007.744</v>
      </c>
      <c r="Q59" s="12">
        <v>0.93</v>
      </c>
      <c r="R59" s="58">
        <v>58215.02399999999</v>
      </c>
      <c r="S59" s="82">
        <v>0.09</v>
      </c>
      <c r="T59" s="58">
        <v>5633.7119999999995</v>
      </c>
      <c r="U59" s="82">
        <v>3.1</v>
      </c>
      <c r="V59" s="58">
        <v>194050.08</v>
      </c>
      <c r="W59" s="85">
        <v>0.24921401732995938</v>
      </c>
      <c r="X59" s="58">
        <v>15600</v>
      </c>
      <c r="Y59" s="58"/>
      <c r="Z59" s="58">
        <v>0</v>
      </c>
      <c r="AA59" s="58"/>
      <c r="AB59" s="58"/>
      <c r="AC59" s="169">
        <v>6.16</v>
      </c>
      <c r="AD59" s="58">
        <v>385596.28799999994</v>
      </c>
      <c r="AE59" s="12">
        <v>0</v>
      </c>
      <c r="AF59" s="12">
        <v>0</v>
      </c>
      <c r="AG59" s="12"/>
      <c r="AH59" s="12">
        <v>0</v>
      </c>
      <c r="AI59" s="82"/>
      <c r="AJ59" s="64">
        <v>0</v>
      </c>
      <c r="AK59" s="85">
        <v>0.902</v>
      </c>
      <c r="AL59" s="66">
        <v>56462.313599999994</v>
      </c>
      <c r="AM59" s="56">
        <v>2.662</v>
      </c>
      <c r="AN59" s="66">
        <v>166632.68159999998</v>
      </c>
      <c r="AO59" s="17">
        <v>1.19</v>
      </c>
      <c r="AP59" s="74">
        <v>1.03</v>
      </c>
      <c r="AQ59" s="74">
        <v>0.16</v>
      </c>
      <c r="AR59" s="74">
        <v>74490.192</v>
      </c>
    </row>
    <row r="60" spans="1:44" ht="12.75">
      <c r="A60" s="6">
        <v>52</v>
      </c>
      <c r="B60" s="80">
        <v>3</v>
      </c>
      <c r="C60" s="81" t="s">
        <v>32</v>
      </c>
      <c r="D60" s="80">
        <v>1285.1</v>
      </c>
      <c r="E60" s="85">
        <v>0.0025551318963472625</v>
      </c>
      <c r="F60" s="82">
        <v>17.597444868103654</v>
      </c>
      <c r="G60" s="82">
        <v>17.6</v>
      </c>
      <c r="H60" s="82">
        <v>271373.7168</v>
      </c>
      <c r="I60" s="5">
        <v>1.86</v>
      </c>
      <c r="J60" s="58">
        <v>28683.432</v>
      </c>
      <c r="K60" s="82">
        <v>0.32</v>
      </c>
      <c r="L60" s="58">
        <v>4934.784</v>
      </c>
      <c r="M60" s="43">
        <v>0.06</v>
      </c>
      <c r="N60" s="58">
        <v>925.2719999999999</v>
      </c>
      <c r="O60" s="82"/>
      <c r="P60" s="58">
        <v>0</v>
      </c>
      <c r="Q60" s="12">
        <v>0.93</v>
      </c>
      <c r="R60" s="58">
        <v>14341.716</v>
      </c>
      <c r="S60" s="82">
        <v>0.09</v>
      </c>
      <c r="T60" s="58">
        <v>1387.908</v>
      </c>
      <c r="U60" s="82">
        <v>2.21</v>
      </c>
      <c r="V60" s="58">
        <v>34080.852</v>
      </c>
      <c r="W60" s="85">
        <v>0.23344486810364953</v>
      </c>
      <c r="X60" s="58">
        <v>3600</v>
      </c>
      <c r="Y60" s="58"/>
      <c r="Z60" s="58">
        <v>0</v>
      </c>
      <c r="AA60" s="58"/>
      <c r="AB60" s="58"/>
      <c r="AC60" s="169">
        <v>7.14</v>
      </c>
      <c r="AD60" s="58">
        <v>110107.36800000002</v>
      </c>
      <c r="AE60" s="12">
        <v>0</v>
      </c>
      <c r="AF60" s="12">
        <v>0</v>
      </c>
      <c r="AG60" s="12"/>
      <c r="AH60" s="12">
        <v>0</v>
      </c>
      <c r="AI60" s="82"/>
      <c r="AJ60" s="64">
        <v>0</v>
      </c>
      <c r="AK60" s="85">
        <v>0.902</v>
      </c>
      <c r="AL60" s="66">
        <v>13909.9224</v>
      </c>
      <c r="AM60" s="56">
        <v>2.662</v>
      </c>
      <c r="AN60" s="66">
        <v>41051.234399999994</v>
      </c>
      <c r="AO60" s="17">
        <v>1.19</v>
      </c>
      <c r="AP60" s="74">
        <v>1.03</v>
      </c>
      <c r="AQ60" s="74">
        <v>0.16</v>
      </c>
      <c r="AR60" s="74">
        <v>18351.227999999996</v>
      </c>
    </row>
    <row r="61" spans="1:44" ht="12.75">
      <c r="A61" s="6">
        <v>53</v>
      </c>
      <c r="B61" s="80">
        <v>4</v>
      </c>
      <c r="C61" s="81" t="s">
        <v>33</v>
      </c>
      <c r="D61" s="80">
        <v>2630.6</v>
      </c>
      <c r="E61" s="85">
        <v>0.0018161636128652958</v>
      </c>
      <c r="F61" s="82">
        <v>17.598183836387136</v>
      </c>
      <c r="G61" s="82">
        <v>17.6</v>
      </c>
      <c r="H61" s="82">
        <v>555525.3888</v>
      </c>
      <c r="I61" s="5">
        <v>1.86</v>
      </c>
      <c r="J61" s="58">
        <v>58714.992</v>
      </c>
      <c r="K61" s="82">
        <v>0.32</v>
      </c>
      <c r="L61" s="58">
        <v>10101.504</v>
      </c>
      <c r="M61" s="43">
        <v>0.06</v>
      </c>
      <c r="N61" s="58">
        <v>1894.0319999999997</v>
      </c>
      <c r="O61" s="82">
        <v>0.02</v>
      </c>
      <c r="P61" s="58">
        <v>631.344</v>
      </c>
      <c r="Q61" s="12">
        <v>0.93</v>
      </c>
      <c r="R61" s="58">
        <v>29357.496</v>
      </c>
      <c r="S61" s="82">
        <v>0.09</v>
      </c>
      <c r="T61" s="58">
        <v>2841.048</v>
      </c>
      <c r="U61" s="82">
        <v>3</v>
      </c>
      <c r="V61" s="58">
        <v>94701.6</v>
      </c>
      <c r="W61" s="85">
        <v>0.49418383638713603</v>
      </c>
      <c r="X61" s="58">
        <v>15600</v>
      </c>
      <c r="Y61" s="58"/>
      <c r="Z61" s="58">
        <v>0</v>
      </c>
      <c r="AA61" s="58"/>
      <c r="AB61" s="58"/>
      <c r="AC61" s="169">
        <v>6.07</v>
      </c>
      <c r="AD61" s="58">
        <v>191612.90399999998</v>
      </c>
      <c r="AE61" s="12">
        <v>0</v>
      </c>
      <c r="AF61" s="12">
        <v>0</v>
      </c>
      <c r="AG61" s="12"/>
      <c r="AH61" s="12">
        <v>0</v>
      </c>
      <c r="AI61" s="82"/>
      <c r="AJ61" s="64">
        <v>0</v>
      </c>
      <c r="AK61" s="85">
        <v>0.902</v>
      </c>
      <c r="AL61" s="66">
        <v>28473.6144</v>
      </c>
      <c r="AM61" s="56">
        <v>2.662</v>
      </c>
      <c r="AN61" s="66">
        <v>84031.88639999999</v>
      </c>
      <c r="AO61" s="17">
        <v>1.19</v>
      </c>
      <c r="AP61" s="74">
        <v>1.03</v>
      </c>
      <c r="AQ61" s="74">
        <v>0.16</v>
      </c>
      <c r="AR61" s="74">
        <v>37564.96799999999</v>
      </c>
    </row>
    <row r="62" spans="1:44" ht="12.75">
      <c r="A62" s="6">
        <v>54</v>
      </c>
      <c r="B62" s="80">
        <v>5</v>
      </c>
      <c r="C62" s="81" t="s">
        <v>34</v>
      </c>
      <c r="D62" s="80">
        <v>1266.8</v>
      </c>
      <c r="E62" s="85">
        <v>-0.0008171771392468941</v>
      </c>
      <c r="F62" s="82">
        <v>17.60081717713925</v>
      </c>
      <c r="G62" s="82">
        <v>17.6</v>
      </c>
      <c r="H62" s="82">
        <v>267560.58239999996</v>
      </c>
      <c r="I62" s="5">
        <v>1.86</v>
      </c>
      <c r="J62" s="58">
        <v>28274.976000000002</v>
      </c>
      <c r="K62" s="82">
        <v>0.32</v>
      </c>
      <c r="L62" s="58">
        <v>4864.512</v>
      </c>
      <c r="M62" s="43">
        <v>0.06</v>
      </c>
      <c r="N62" s="58">
        <v>912.096</v>
      </c>
      <c r="O62" s="82"/>
      <c r="P62" s="58">
        <v>0</v>
      </c>
      <c r="Q62" s="12">
        <v>0.93</v>
      </c>
      <c r="R62" s="58">
        <v>14137.488000000001</v>
      </c>
      <c r="S62" s="82">
        <v>0.09</v>
      </c>
      <c r="T62" s="58">
        <v>1368.1439999999998</v>
      </c>
      <c r="U62" s="82">
        <v>3.2</v>
      </c>
      <c r="V62" s="58">
        <v>48645.12</v>
      </c>
      <c r="W62" s="85">
        <v>0.23681717713924852</v>
      </c>
      <c r="X62" s="58">
        <v>3600</v>
      </c>
      <c r="Y62" s="58"/>
      <c r="Z62" s="58">
        <v>0</v>
      </c>
      <c r="AA62" s="58"/>
      <c r="AB62" s="58"/>
      <c r="AC62" s="169">
        <v>6.15</v>
      </c>
      <c r="AD62" s="58">
        <v>93489.84</v>
      </c>
      <c r="AE62" s="12">
        <v>0</v>
      </c>
      <c r="AF62" s="12">
        <v>0</v>
      </c>
      <c r="AG62" s="12"/>
      <c r="AH62" s="12">
        <v>0</v>
      </c>
      <c r="AI62" s="82"/>
      <c r="AJ62" s="64">
        <v>0</v>
      </c>
      <c r="AK62" s="85">
        <v>0.902</v>
      </c>
      <c r="AL62" s="66">
        <v>13711.843200000001</v>
      </c>
      <c r="AM62" s="56">
        <v>2.662</v>
      </c>
      <c r="AN62" s="66">
        <v>40466.659199999995</v>
      </c>
      <c r="AO62" s="17">
        <v>1.19</v>
      </c>
      <c r="AP62" s="74">
        <v>1.03</v>
      </c>
      <c r="AQ62" s="74">
        <v>0.16</v>
      </c>
      <c r="AR62" s="74">
        <v>18089.904</v>
      </c>
    </row>
    <row r="63" spans="1:44" ht="12.75">
      <c r="A63" s="6">
        <v>55</v>
      </c>
      <c r="B63" s="80">
        <v>6</v>
      </c>
      <c r="C63" s="81" t="s">
        <v>35</v>
      </c>
      <c r="D63" s="80">
        <v>4482.3</v>
      </c>
      <c r="E63" s="85">
        <v>-0.0040296722664727724</v>
      </c>
      <c r="F63" s="82">
        <v>17.604029672266474</v>
      </c>
      <c r="G63" s="82">
        <v>17.6</v>
      </c>
      <c r="H63" s="82">
        <v>946878.5064000001</v>
      </c>
      <c r="I63" s="5">
        <v>1.86</v>
      </c>
      <c r="J63" s="58">
        <v>100044.93600000002</v>
      </c>
      <c r="K63" s="82">
        <v>0.32</v>
      </c>
      <c r="L63" s="58">
        <v>17212.032</v>
      </c>
      <c r="M63" s="43">
        <v>0.06</v>
      </c>
      <c r="N63" s="58">
        <v>3227.256</v>
      </c>
      <c r="O63" s="82"/>
      <c r="P63" s="58">
        <v>0</v>
      </c>
      <c r="Q63" s="12">
        <v>0.93</v>
      </c>
      <c r="R63" s="58">
        <v>50022.46800000001</v>
      </c>
      <c r="S63" s="82">
        <v>0.09</v>
      </c>
      <c r="T63" s="58">
        <v>4840.884</v>
      </c>
      <c r="U63" s="82">
        <v>2.93</v>
      </c>
      <c r="V63" s="58">
        <v>157597.668</v>
      </c>
      <c r="W63" s="85">
        <v>0.2900296722664703</v>
      </c>
      <c r="X63" s="58">
        <v>15600</v>
      </c>
      <c r="Y63" s="58"/>
      <c r="Z63" s="58">
        <v>0</v>
      </c>
      <c r="AA63" s="58"/>
      <c r="AB63" s="58"/>
      <c r="AC63" s="169">
        <v>6.37</v>
      </c>
      <c r="AD63" s="58">
        <v>342627.012</v>
      </c>
      <c r="AE63" s="12">
        <v>0</v>
      </c>
      <c r="AF63" s="12">
        <v>0</v>
      </c>
      <c r="AG63" s="12"/>
      <c r="AH63" s="12">
        <v>0</v>
      </c>
      <c r="AI63" s="82"/>
      <c r="AJ63" s="64">
        <v>0</v>
      </c>
      <c r="AK63" s="85">
        <v>0.902</v>
      </c>
      <c r="AL63" s="66">
        <v>48516.4152</v>
      </c>
      <c r="AM63" s="56">
        <v>2.662</v>
      </c>
      <c r="AN63" s="66">
        <v>143182.59120000002</v>
      </c>
      <c r="AO63" s="17">
        <v>1.19</v>
      </c>
      <c r="AP63" s="74">
        <v>1.03</v>
      </c>
      <c r="AQ63" s="74">
        <v>0.16</v>
      </c>
      <c r="AR63" s="74">
        <v>64007.244</v>
      </c>
    </row>
    <row r="64" spans="1:44" ht="12.75">
      <c r="A64" s="6">
        <v>56</v>
      </c>
      <c r="B64" s="80">
        <v>7</v>
      </c>
      <c r="C64" s="81" t="s">
        <v>36</v>
      </c>
      <c r="D64" s="168">
        <v>1273</v>
      </c>
      <c r="E64" s="85">
        <v>0.00033621366850056233</v>
      </c>
      <c r="F64" s="82">
        <v>17.5996637863315</v>
      </c>
      <c r="G64" s="82">
        <v>17.6</v>
      </c>
      <c r="H64" s="82">
        <v>268852.464</v>
      </c>
      <c r="I64" s="5">
        <v>1.86</v>
      </c>
      <c r="J64" s="58">
        <v>28413.36</v>
      </c>
      <c r="K64" s="82">
        <v>0.32</v>
      </c>
      <c r="L64" s="58">
        <v>4888.32</v>
      </c>
      <c r="M64" s="43">
        <v>0.06</v>
      </c>
      <c r="N64" s="58">
        <v>916.56</v>
      </c>
      <c r="O64" s="82"/>
      <c r="P64" s="58">
        <v>0</v>
      </c>
      <c r="Q64" s="12">
        <v>0.93</v>
      </c>
      <c r="R64" s="58">
        <v>14206.68</v>
      </c>
      <c r="S64" s="82">
        <v>0.09</v>
      </c>
      <c r="T64" s="58">
        <v>1374.84</v>
      </c>
      <c r="U64" s="82">
        <v>3.6</v>
      </c>
      <c r="V64" s="58">
        <v>54993.6</v>
      </c>
      <c r="W64" s="85">
        <v>0.2356637863315004</v>
      </c>
      <c r="X64" s="58">
        <v>3600</v>
      </c>
      <c r="Y64" s="58"/>
      <c r="Z64" s="58">
        <v>0</v>
      </c>
      <c r="AA64" s="58"/>
      <c r="AB64" s="58"/>
      <c r="AC64" s="169">
        <v>5.75</v>
      </c>
      <c r="AD64" s="58">
        <v>87837</v>
      </c>
      <c r="AE64" s="12">
        <v>0</v>
      </c>
      <c r="AF64" s="12">
        <v>0</v>
      </c>
      <c r="AG64" s="12"/>
      <c r="AH64" s="12">
        <v>0</v>
      </c>
      <c r="AI64" s="82"/>
      <c r="AJ64" s="64">
        <v>0</v>
      </c>
      <c r="AK64" s="85">
        <v>0.902</v>
      </c>
      <c r="AL64" s="66">
        <v>13778.952000000001</v>
      </c>
      <c r="AM64" s="56">
        <v>2.662</v>
      </c>
      <c r="AN64" s="66">
        <v>40664.712</v>
      </c>
      <c r="AO64" s="17">
        <v>1.19</v>
      </c>
      <c r="AP64" s="74">
        <v>1.03</v>
      </c>
      <c r="AQ64" s="74">
        <v>0.16</v>
      </c>
      <c r="AR64" s="74">
        <v>18178.44</v>
      </c>
    </row>
    <row r="65" spans="1:44" ht="12.75">
      <c r="A65" s="6">
        <v>57</v>
      </c>
      <c r="B65" s="80">
        <v>8</v>
      </c>
      <c r="C65" s="81" t="s">
        <v>37</v>
      </c>
      <c r="D65" s="168">
        <v>1279.9</v>
      </c>
      <c r="E65" s="85">
        <v>0.0016066880225018565</v>
      </c>
      <c r="F65" s="82">
        <v>17.5983933119775</v>
      </c>
      <c r="G65" s="82">
        <v>17.6</v>
      </c>
      <c r="H65" s="82">
        <v>270290.2032</v>
      </c>
      <c r="I65" s="5">
        <v>1.86</v>
      </c>
      <c r="J65" s="58">
        <v>28567.368000000006</v>
      </c>
      <c r="K65" s="82">
        <v>0.32</v>
      </c>
      <c r="L65" s="58">
        <v>4914.816000000001</v>
      </c>
      <c r="M65" s="43">
        <v>0.06</v>
      </c>
      <c r="N65" s="58">
        <v>921.528</v>
      </c>
      <c r="O65" s="82"/>
      <c r="P65" s="58">
        <v>0</v>
      </c>
      <c r="Q65" s="12">
        <v>0.93</v>
      </c>
      <c r="R65" s="58">
        <v>14283.684000000003</v>
      </c>
      <c r="S65" s="82">
        <v>0.09</v>
      </c>
      <c r="T65" s="58">
        <v>1382.292</v>
      </c>
      <c r="U65" s="82">
        <v>3.2</v>
      </c>
      <c r="V65" s="58">
        <v>49148.16</v>
      </c>
      <c r="W65" s="85">
        <v>0.23439331197749824</v>
      </c>
      <c r="X65" s="58">
        <v>3600</v>
      </c>
      <c r="Y65" s="58"/>
      <c r="Z65" s="58">
        <v>0</v>
      </c>
      <c r="AA65" s="58"/>
      <c r="AB65" s="58"/>
      <c r="AC65" s="169">
        <v>6.15</v>
      </c>
      <c r="AD65" s="58">
        <v>94456.62</v>
      </c>
      <c r="AE65" s="12">
        <v>0</v>
      </c>
      <c r="AF65" s="12">
        <v>0</v>
      </c>
      <c r="AG65" s="12"/>
      <c r="AH65" s="12">
        <v>0</v>
      </c>
      <c r="AI65" s="82"/>
      <c r="AJ65" s="64">
        <v>0</v>
      </c>
      <c r="AK65" s="85">
        <v>0.902</v>
      </c>
      <c r="AL65" s="66">
        <v>13853.637600000002</v>
      </c>
      <c r="AM65" s="56">
        <v>2.662</v>
      </c>
      <c r="AN65" s="66">
        <v>40885.1256</v>
      </c>
      <c r="AO65" s="17">
        <v>1.19</v>
      </c>
      <c r="AP65" s="74">
        <v>1.03</v>
      </c>
      <c r="AQ65" s="74">
        <v>0.16</v>
      </c>
      <c r="AR65" s="74">
        <v>18276.972</v>
      </c>
    </row>
    <row r="66" spans="1:44" ht="12.75">
      <c r="A66" s="6">
        <v>58</v>
      </c>
      <c r="B66" s="80">
        <v>9</v>
      </c>
      <c r="C66" s="81" t="s">
        <v>229</v>
      </c>
      <c r="D66" s="12">
        <v>4461.9</v>
      </c>
      <c r="E66" s="85">
        <v>0.004644299513664407</v>
      </c>
      <c r="F66" s="82">
        <v>17.595355700486337</v>
      </c>
      <c r="G66" s="82">
        <v>17.6</v>
      </c>
      <c r="H66" s="82">
        <v>942104.6111999999</v>
      </c>
      <c r="I66" s="5">
        <v>1.69</v>
      </c>
      <c r="J66" s="58">
        <v>90487.332</v>
      </c>
      <c r="K66" s="82">
        <v>0.32</v>
      </c>
      <c r="L66" s="58">
        <v>17133.696</v>
      </c>
      <c r="M66" s="12">
        <v>0.1</v>
      </c>
      <c r="N66" s="58">
        <v>5354.28</v>
      </c>
      <c r="O66" s="82"/>
      <c r="P66" s="58">
        <v>0</v>
      </c>
      <c r="Q66" s="12">
        <v>0.93</v>
      </c>
      <c r="R66" s="58">
        <v>49794.804000000004</v>
      </c>
      <c r="S66" s="82">
        <v>0.09</v>
      </c>
      <c r="T66" s="58">
        <v>4818.852</v>
      </c>
      <c r="U66" s="82">
        <v>3.1</v>
      </c>
      <c r="V66" s="58">
        <v>165982.68</v>
      </c>
      <c r="W66" s="85">
        <v>0.2913557004863399</v>
      </c>
      <c r="X66" s="58">
        <v>15600</v>
      </c>
      <c r="Y66" s="58"/>
      <c r="Z66" s="58">
        <v>0</v>
      </c>
      <c r="AA66" s="58"/>
      <c r="AB66" s="58"/>
      <c r="AC66" s="169">
        <v>6.32</v>
      </c>
      <c r="AD66" s="58">
        <v>338390.4959999999</v>
      </c>
      <c r="AE66" s="58"/>
      <c r="AF66" s="12">
        <v>0</v>
      </c>
      <c r="AG66" s="58"/>
      <c r="AH66" s="12">
        <v>0</v>
      </c>
      <c r="AI66" s="82"/>
      <c r="AJ66" s="64">
        <v>0</v>
      </c>
      <c r="AK66" s="85">
        <v>0.902</v>
      </c>
      <c r="AL66" s="66">
        <v>48295.605599999995</v>
      </c>
      <c r="AM66" s="56">
        <v>2.662</v>
      </c>
      <c r="AN66" s="66">
        <v>142530.9336</v>
      </c>
      <c r="AO66" s="17">
        <v>1.19</v>
      </c>
      <c r="AP66" s="74">
        <v>1.03</v>
      </c>
      <c r="AQ66" s="74">
        <v>0.16</v>
      </c>
      <c r="AR66" s="74">
        <v>63715.931999999986</v>
      </c>
    </row>
    <row r="67" spans="1:44" ht="12.75">
      <c r="A67" s="6">
        <v>59</v>
      </c>
      <c r="B67" s="80">
        <v>10</v>
      </c>
      <c r="C67" s="81" t="s">
        <v>38</v>
      </c>
      <c r="D67" s="80">
        <v>1269.1</v>
      </c>
      <c r="E67" s="85">
        <v>-0.0003879914900331016</v>
      </c>
      <c r="F67" s="82">
        <v>16.820387991490033</v>
      </c>
      <c r="G67" s="82">
        <v>16.82</v>
      </c>
      <c r="H67" s="82">
        <v>256161.05279999998</v>
      </c>
      <c r="I67" s="5">
        <v>1.86</v>
      </c>
      <c r="J67" s="58">
        <v>28326.311999999998</v>
      </c>
      <c r="K67" s="82">
        <v>0.32</v>
      </c>
      <c r="L67" s="58">
        <v>4873.343999999999</v>
      </c>
      <c r="M67" s="43">
        <v>0.06</v>
      </c>
      <c r="N67" s="58">
        <v>913.7519999999998</v>
      </c>
      <c r="O67" s="82"/>
      <c r="P67" s="58">
        <v>0</v>
      </c>
      <c r="Q67" s="12">
        <v>0.93</v>
      </c>
      <c r="R67" s="58">
        <v>14163.155999999999</v>
      </c>
      <c r="S67" s="82">
        <v>0.09</v>
      </c>
      <c r="T67" s="58">
        <v>1370.628</v>
      </c>
      <c r="U67" s="82">
        <v>3.07</v>
      </c>
      <c r="V67" s="58">
        <v>46753.644</v>
      </c>
      <c r="W67" s="85">
        <v>0.2363879914900323</v>
      </c>
      <c r="X67" s="58">
        <v>3600</v>
      </c>
      <c r="Y67" s="58"/>
      <c r="Z67" s="58">
        <v>0</v>
      </c>
      <c r="AA67" s="58"/>
      <c r="AB67" s="58"/>
      <c r="AC67" s="169">
        <v>5.5</v>
      </c>
      <c r="AD67" s="58">
        <v>83760.6</v>
      </c>
      <c r="AE67" s="12">
        <v>0</v>
      </c>
      <c r="AF67" s="12">
        <v>0</v>
      </c>
      <c r="AG67" s="12"/>
      <c r="AH67" s="12">
        <v>0</v>
      </c>
      <c r="AI67" s="82"/>
      <c r="AJ67" s="64">
        <v>0</v>
      </c>
      <c r="AK67" s="85">
        <v>0.902</v>
      </c>
      <c r="AL67" s="66">
        <v>13736.7384</v>
      </c>
      <c r="AM67" s="56">
        <v>2.662</v>
      </c>
      <c r="AN67" s="66">
        <v>40540.130399999995</v>
      </c>
      <c r="AO67" s="17">
        <v>1.19</v>
      </c>
      <c r="AP67" s="74">
        <v>1.03</v>
      </c>
      <c r="AQ67" s="74">
        <v>0.16</v>
      </c>
      <c r="AR67" s="74">
        <v>18122.748</v>
      </c>
    </row>
    <row r="68" spans="1:44" ht="12.75">
      <c r="A68" s="6">
        <v>60</v>
      </c>
      <c r="B68" s="80">
        <v>11</v>
      </c>
      <c r="C68" s="81" t="s">
        <v>39</v>
      </c>
      <c r="D68" s="80">
        <v>4454.6</v>
      </c>
      <c r="E68" s="85">
        <v>0.004166838773400627</v>
      </c>
      <c r="F68" s="82">
        <v>17.5958331612266</v>
      </c>
      <c r="G68" s="82">
        <v>17.6</v>
      </c>
      <c r="H68" s="82">
        <v>940588.7808000001</v>
      </c>
      <c r="I68" s="5">
        <v>1.86</v>
      </c>
      <c r="J68" s="58">
        <v>99426.672</v>
      </c>
      <c r="K68" s="82">
        <v>0.32</v>
      </c>
      <c r="L68" s="58">
        <v>17105.664000000004</v>
      </c>
      <c r="M68" s="43">
        <v>0.06</v>
      </c>
      <c r="N68" s="58">
        <v>3207.312</v>
      </c>
      <c r="O68" s="82"/>
      <c r="P68" s="58">
        <v>0</v>
      </c>
      <c r="Q68" s="12">
        <v>0.93</v>
      </c>
      <c r="R68" s="58">
        <v>49713.336</v>
      </c>
      <c r="S68" s="82">
        <v>0.09</v>
      </c>
      <c r="T68" s="58">
        <v>4810.968000000001</v>
      </c>
      <c r="U68" s="82">
        <v>3.1</v>
      </c>
      <c r="V68" s="58">
        <v>165711.12</v>
      </c>
      <c r="W68" s="85">
        <v>0.2918331612265972</v>
      </c>
      <c r="X68" s="58">
        <v>15600</v>
      </c>
      <c r="Y68" s="58"/>
      <c r="Z68" s="58">
        <v>0</v>
      </c>
      <c r="AA68" s="58"/>
      <c r="AB68" s="58"/>
      <c r="AC68" s="169">
        <v>6.19</v>
      </c>
      <c r="AD68" s="58">
        <v>330887.6880000001</v>
      </c>
      <c r="AE68" s="12">
        <v>0</v>
      </c>
      <c r="AF68" s="12">
        <v>0</v>
      </c>
      <c r="AG68" s="12"/>
      <c r="AH68" s="12">
        <v>0</v>
      </c>
      <c r="AI68" s="82"/>
      <c r="AJ68" s="64">
        <v>0</v>
      </c>
      <c r="AK68" s="85">
        <v>0.902</v>
      </c>
      <c r="AL68" s="66">
        <v>48216.5904</v>
      </c>
      <c r="AM68" s="56">
        <v>2.662</v>
      </c>
      <c r="AN68" s="66">
        <v>142297.74240000002</v>
      </c>
      <c r="AO68" s="17">
        <v>1.19</v>
      </c>
      <c r="AP68" s="74">
        <v>1.03</v>
      </c>
      <c r="AQ68" s="74">
        <v>0.16</v>
      </c>
      <c r="AR68" s="74">
        <v>63611.688</v>
      </c>
    </row>
    <row r="69" spans="1:44" ht="12.75">
      <c r="A69" s="6">
        <v>61</v>
      </c>
      <c r="B69" s="80">
        <v>12</v>
      </c>
      <c r="C69" s="81" t="s">
        <v>40</v>
      </c>
      <c r="D69" s="168">
        <v>1264</v>
      </c>
      <c r="E69" s="85">
        <v>-0.0013417721518997894</v>
      </c>
      <c r="F69" s="82">
        <v>17.6013417721519</v>
      </c>
      <c r="G69" s="82">
        <v>17.6</v>
      </c>
      <c r="H69" s="82">
        <v>266977.15199999994</v>
      </c>
      <c r="I69" s="5">
        <v>1.86</v>
      </c>
      <c r="J69" s="58">
        <v>28212.48</v>
      </c>
      <c r="K69" s="82">
        <v>0.32</v>
      </c>
      <c r="L69" s="58">
        <v>4853.76</v>
      </c>
      <c r="M69" s="43">
        <v>0.06</v>
      </c>
      <c r="N69" s="58">
        <v>910.08</v>
      </c>
      <c r="O69" s="82"/>
      <c r="P69" s="58">
        <v>0</v>
      </c>
      <c r="Q69" s="12">
        <v>0.93</v>
      </c>
      <c r="R69" s="58">
        <v>14106.24</v>
      </c>
      <c r="S69" s="82">
        <v>0.09</v>
      </c>
      <c r="T69" s="58">
        <v>1365.12</v>
      </c>
      <c r="U69" s="82">
        <v>2.3</v>
      </c>
      <c r="V69" s="58">
        <v>34886.4</v>
      </c>
      <c r="W69" s="85">
        <v>0.23734177215189875</v>
      </c>
      <c r="X69" s="58">
        <v>3600</v>
      </c>
      <c r="Y69" s="58"/>
      <c r="Z69" s="58">
        <v>0</v>
      </c>
      <c r="AA69" s="58"/>
      <c r="AB69" s="58"/>
      <c r="AC69" s="169">
        <v>7.05</v>
      </c>
      <c r="AD69" s="58">
        <v>106934.4</v>
      </c>
      <c r="AE69" s="12">
        <v>0</v>
      </c>
      <c r="AF69" s="12">
        <v>0</v>
      </c>
      <c r="AG69" s="12"/>
      <c r="AH69" s="12">
        <v>0</v>
      </c>
      <c r="AI69" s="82"/>
      <c r="AJ69" s="64">
        <v>0</v>
      </c>
      <c r="AK69" s="85">
        <v>0.902</v>
      </c>
      <c r="AL69" s="66">
        <v>13681.536</v>
      </c>
      <c r="AM69" s="56">
        <v>2.662</v>
      </c>
      <c r="AN69" s="66">
        <v>40377.216</v>
      </c>
      <c r="AO69" s="17">
        <v>1.19</v>
      </c>
      <c r="AP69" s="74">
        <v>1.03</v>
      </c>
      <c r="AQ69" s="74">
        <v>0.16</v>
      </c>
      <c r="AR69" s="74">
        <v>18049.92</v>
      </c>
    </row>
    <row r="70" spans="1:44" ht="12.75">
      <c r="A70" s="6">
        <v>62</v>
      </c>
      <c r="B70" s="80">
        <v>13</v>
      </c>
      <c r="C70" s="81" t="s">
        <v>41</v>
      </c>
      <c r="D70" s="168">
        <v>2836.2</v>
      </c>
      <c r="E70" s="85">
        <v>-0.0023597771666317158</v>
      </c>
      <c r="F70" s="82">
        <v>17.602359777166633</v>
      </c>
      <c r="G70" s="82">
        <v>17.6</v>
      </c>
      <c r="H70" s="82">
        <v>599085.7535999999</v>
      </c>
      <c r="I70" s="5">
        <v>1.86</v>
      </c>
      <c r="J70" s="58">
        <v>63303.984000000004</v>
      </c>
      <c r="K70" s="82">
        <v>0.32</v>
      </c>
      <c r="L70" s="58">
        <v>10891.008</v>
      </c>
      <c r="M70" s="43">
        <v>0.06</v>
      </c>
      <c r="N70" s="58">
        <v>2042.0639999999996</v>
      </c>
      <c r="O70" s="82">
        <v>0.03</v>
      </c>
      <c r="P70" s="58">
        <v>1021.0319999999998</v>
      </c>
      <c r="Q70" s="12">
        <v>0.93</v>
      </c>
      <c r="R70" s="58">
        <v>31651.992000000002</v>
      </c>
      <c r="S70" s="82">
        <v>0.09</v>
      </c>
      <c r="T70" s="58">
        <v>3063.0959999999995</v>
      </c>
      <c r="U70" s="82">
        <v>3.1</v>
      </c>
      <c r="V70" s="58">
        <v>105506.64</v>
      </c>
      <c r="W70" s="85">
        <v>0.45835977716663145</v>
      </c>
      <c r="X70" s="58">
        <v>15600</v>
      </c>
      <c r="Y70" s="58"/>
      <c r="Z70" s="58">
        <v>0</v>
      </c>
      <c r="AA70" s="58"/>
      <c r="AB70" s="58"/>
      <c r="AC70" s="169">
        <v>6</v>
      </c>
      <c r="AD70" s="58">
        <v>204206.4</v>
      </c>
      <c r="AE70" s="12">
        <v>0</v>
      </c>
      <c r="AF70" s="12">
        <v>0</v>
      </c>
      <c r="AG70" s="12"/>
      <c r="AH70" s="12">
        <v>0</v>
      </c>
      <c r="AI70" s="82"/>
      <c r="AJ70" s="64">
        <v>0</v>
      </c>
      <c r="AK70" s="85">
        <v>0.902</v>
      </c>
      <c r="AL70" s="66">
        <v>30699.0288</v>
      </c>
      <c r="AM70" s="56">
        <v>2.662</v>
      </c>
      <c r="AN70" s="66">
        <v>90599.5728</v>
      </c>
      <c r="AO70" s="17">
        <v>1.19</v>
      </c>
      <c r="AP70" s="74">
        <v>1.03</v>
      </c>
      <c r="AQ70" s="74">
        <v>0.16</v>
      </c>
      <c r="AR70" s="74">
        <v>40500.935999999994</v>
      </c>
    </row>
    <row r="71" spans="1:44" ht="12.75">
      <c r="A71" s="6">
        <v>63</v>
      </c>
      <c r="B71" s="80">
        <v>14</v>
      </c>
      <c r="C71" s="81" t="s">
        <v>230</v>
      </c>
      <c r="D71" s="64">
        <v>1273</v>
      </c>
      <c r="E71" s="85">
        <v>0.00033621366850056233</v>
      </c>
      <c r="F71" s="82">
        <v>17.5996637863315</v>
      </c>
      <c r="G71" s="82">
        <v>17.6</v>
      </c>
      <c r="H71" s="82">
        <v>268852.464</v>
      </c>
      <c r="I71" s="5">
        <v>1.69</v>
      </c>
      <c r="J71" s="58">
        <v>25816.44</v>
      </c>
      <c r="K71" s="82">
        <v>0.32</v>
      </c>
      <c r="L71" s="58">
        <v>4888.32</v>
      </c>
      <c r="M71" s="12">
        <v>0.05</v>
      </c>
      <c r="N71" s="58">
        <v>763.8</v>
      </c>
      <c r="O71" s="82"/>
      <c r="P71" s="58">
        <v>0</v>
      </c>
      <c r="Q71" s="12">
        <v>0.93</v>
      </c>
      <c r="R71" s="58">
        <v>14206.68</v>
      </c>
      <c r="S71" s="82">
        <v>0.09</v>
      </c>
      <c r="T71" s="58">
        <v>1374.84</v>
      </c>
      <c r="U71" s="82">
        <v>3.3</v>
      </c>
      <c r="V71" s="58">
        <v>50410.8</v>
      </c>
      <c r="W71" s="85">
        <v>0.2356637863315004</v>
      </c>
      <c r="X71" s="58">
        <v>3600</v>
      </c>
      <c r="Y71" s="58"/>
      <c r="Z71" s="58">
        <v>0</v>
      </c>
      <c r="AA71" s="58"/>
      <c r="AB71" s="58"/>
      <c r="AC71" s="169">
        <v>6.23</v>
      </c>
      <c r="AD71" s="58">
        <v>95169.48</v>
      </c>
      <c r="AE71" s="58"/>
      <c r="AF71" s="12">
        <v>0</v>
      </c>
      <c r="AG71" s="58"/>
      <c r="AH71" s="12">
        <v>0</v>
      </c>
      <c r="AI71" s="82"/>
      <c r="AJ71" s="64">
        <v>0</v>
      </c>
      <c r="AK71" s="85">
        <v>0.902</v>
      </c>
      <c r="AL71" s="66">
        <v>13778.952000000001</v>
      </c>
      <c r="AM71" s="56">
        <v>2.662</v>
      </c>
      <c r="AN71" s="66">
        <v>40664.712</v>
      </c>
      <c r="AO71" s="17">
        <v>1.19</v>
      </c>
      <c r="AP71" s="74">
        <v>1.03</v>
      </c>
      <c r="AQ71" s="74">
        <v>0.16</v>
      </c>
      <c r="AR71" s="74">
        <v>18178.44</v>
      </c>
    </row>
    <row r="72" spans="1:44" ht="12.75">
      <c r="A72" s="6">
        <v>64</v>
      </c>
      <c r="B72" s="80">
        <v>15</v>
      </c>
      <c r="C72" s="81" t="s">
        <v>42</v>
      </c>
      <c r="D72" s="80">
        <v>4423.9</v>
      </c>
      <c r="E72" s="85">
        <v>0.002141639729650535</v>
      </c>
      <c r="F72" s="82">
        <v>17.59785836027035</v>
      </c>
      <c r="G72" s="82">
        <v>17.6</v>
      </c>
      <c r="H72" s="82">
        <v>934213.9872</v>
      </c>
      <c r="I72" s="5">
        <v>1.86</v>
      </c>
      <c r="J72" s="58">
        <v>98741.448</v>
      </c>
      <c r="K72" s="82">
        <v>0.32</v>
      </c>
      <c r="L72" s="58">
        <v>16987.775999999998</v>
      </c>
      <c r="M72" s="43">
        <v>0.06</v>
      </c>
      <c r="N72" s="58">
        <v>3185.2079999999996</v>
      </c>
      <c r="O72" s="82"/>
      <c r="P72" s="58">
        <v>0</v>
      </c>
      <c r="Q72" s="12">
        <v>0.93</v>
      </c>
      <c r="R72" s="58">
        <v>49370.724</v>
      </c>
      <c r="S72" s="82">
        <v>0.09</v>
      </c>
      <c r="T72" s="58">
        <v>4777.812</v>
      </c>
      <c r="U72" s="82">
        <v>3.07</v>
      </c>
      <c r="V72" s="58">
        <v>162976.47599999997</v>
      </c>
      <c r="W72" s="85">
        <v>0.2938583602703497</v>
      </c>
      <c r="X72" s="58">
        <v>15600</v>
      </c>
      <c r="Y72" s="58"/>
      <c r="Z72" s="58">
        <v>0</v>
      </c>
      <c r="AA72" s="58"/>
      <c r="AB72" s="58"/>
      <c r="AC72" s="169">
        <v>6.22</v>
      </c>
      <c r="AD72" s="58">
        <v>330199.89599999995</v>
      </c>
      <c r="AE72" s="12">
        <v>0</v>
      </c>
      <c r="AF72" s="12">
        <v>0</v>
      </c>
      <c r="AG72" s="12"/>
      <c r="AH72" s="12">
        <v>0</v>
      </c>
      <c r="AI72" s="82"/>
      <c r="AJ72" s="64">
        <v>0</v>
      </c>
      <c r="AK72" s="85">
        <v>0.902</v>
      </c>
      <c r="AL72" s="66">
        <v>47884.2936</v>
      </c>
      <c r="AM72" s="56">
        <v>2.662</v>
      </c>
      <c r="AN72" s="66">
        <v>141317.0616</v>
      </c>
      <c r="AO72" s="17">
        <v>1.19</v>
      </c>
      <c r="AP72" s="74">
        <v>1.03</v>
      </c>
      <c r="AQ72" s="74">
        <v>0.16</v>
      </c>
      <c r="AR72" s="74">
        <v>63173.29199999999</v>
      </c>
    </row>
    <row r="73" spans="1:44" ht="12.75">
      <c r="A73" s="6">
        <v>65</v>
      </c>
      <c r="B73" s="80">
        <v>16</v>
      </c>
      <c r="C73" s="81" t="s">
        <v>171</v>
      </c>
      <c r="D73" s="80">
        <v>1271.9</v>
      </c>
      <c r="E73" s="85">
        <v>0.0001324003459401979</v>
      </c>
      <c r="F73" s="82">
        <v>17.59986759965406</v>
      </c>
      <c r="G73" s="82">
        <v>17.6</v>
      </c>
      <c r="H73" s="82">
        <v>268623.25920000003</v>
      </c>
      <c r="I73" s="5">
        <v>1.86</v>
      </c>
      <c r="J73" s="58">
        <v>28388.808000000005</v>
      </c>
      <c r="K73" s="82">
        <v>0.32</v>
      </c>
      <c r="L73" s="58">
        <v>4884.0960000000005</v>
      </c>
      <c r="M73" s="43">
        <v>0.07</v>
      </c>
      <c r="N73" s="58">
        <v>1068.3960000000002</v>
      </c>
      <c r="O73" s="82">
        <v>0.03</v>
      </c>
      <c r="P73" s="58">
        <v>457.884</v>
      </c>
      <c r="Q73" s="12">
        <v>0.93</v>
      </c>
      <c r="R73" s="58">
        <v>14194.404000000002</v>
      </c>
      <c r="S73" s="82">
        <v>0.09</v>
      </c>
      <c r="T73" s="58">
        <v>1373.652</v>
      </c>
      <c r="U73" s="82">
        <v>2.26</v>
      </c>
      <c r="V73" s="58">
        <v>34493.92800000001</v>
      </c>
      <c r="W73" s="85">
        <v>0.23586759965406082</v>
      </c>
      <c r="X73" s="58">
        <v>3600</v>
      </c>
      <c r="Y73" s="58"/>
      <c r="Z73" s="58">
        <v>0</v>
      </c>
      <c r="AA73" s="58"/>
      <c r="AB73" s="58"/>
      <c r="AC73" s="169">
        <v>7.05</v>
      </c>
      <c r="AD73" s="58">
        <v>107602.74</v>
      </c>
      <c r="AE73" s="12">
        <v>0</v>
      </c>
      <c r="AF73" s="12">
        <v>0</v>
      </c>
      <c r="AG73" s="12"/>
      <c r="AH73" s="12">
        <v>0</v>
      </c>
      <c r="AI73" s="82"/>
      <c r="AJ73" s="64">
        <v>0</v>
      </c>
      <c r="AK73" s="85">
        <v>0.902</v>
      </c>
      <c r="AL73" s="66">
        <v>13767.045600000001</v>
      </c>
      <c r="AM73" s="56">
        <v>2.662</v>
      </c>
      <c r="AN73" s="66">
        <v>40629.5736</v>
      </c>
      <c r="AO73" s="17">
        <v>1.19</v>
      </c>
      <c r="AP73" s="74">
        <v>1.03</v>
      </c>
      <c r="AQ73" s="74">
        <v>0.16</v>
      </c>
      <c r="AR73" s="74">
        <v>18162.732000000004</v>
      </c>
    </row>
    <row r="74" spans="1:44" ht="12.75">
      <c r="A74" s="6">
        <v>66</v>
      </c>
      <c r="B74" s="80">
        <v>17</v>
      </c>
      <c r="C74" s="81" t="s">
        <v>172</v>
      </c>
      <c r="D74" s="80">
        <v>3721.9</v>
      </c>
      <c r="E74" s="85">
        <v>-0.0032839678658760363</v>
      </c>
      <c r="F74" s="82">
        <v>17.603283967865877</v>
      </c>
      <c r="G74" s="82">
        <v>17.6</v>
      </c>
      <c r="H74" s="82">
        <v>786211.9511999999</v>
      </c>
      <c r="I74" s="5">
        <v>1.86</v>
      </c>
      <c r="J74" s="58">
        <v>83072.808</v>
      </c>
      <c r="K74" s="82">
        <v>0.32</v>
      </c>
      <c r="L74" s="58">
        <v>14292.096000000001</v>
      </c>
      <c r="M74" s="43">
        <v>0.08</v>
      </c>
      <c r="N74" s="58">
        <v>3573.0240000000003</v>
      </c>
      <c r="O74" s="82">
        <v>0.05</v>
      </c>
      <c r="P74" s="58">
        <v>2233.14</v>
      </c>
      <c r="Q74" s="12">
        <v>0.93</v>
      </c>
      <c r="R74" s="58">
        <v>41536.404</v>
      </c>
      <c r="S74" s="82">
        <v>0.09</v>
      </c>
      <c r="T74" s="58">
        <v>4019.652</v>
      </c>
      <c r="U74" s="82">
        <v>3.2</v>
      </c>
      <c r="V74" s="58">
        <v>142920.96</v>
      </c>
      <c r="W74" s="85">
        <v>0.34928396786587496</v>
      </c>
      <c r="X74" s="58">
        <v>15600</v>
      </c>
      <c r="Y74" s="58"/>
      <c r="Z74" s="58">
        <v>0</v>
      </c>
      <c r="AA74" s="58"/>
      <c r="AB74" s="58"/>
      <c r="AC74" s="169">
        <v>5.97</v>
      </c>
      <c r="AD74" s="58">
        <v>266636.916</v>
      </c>
      <c r="AE74" s="12">
        <v>0</v>
      </c>
      <c r="AF74" s="12">
        <v>0</v>
      </c>
      <c r="AG74" s="12"/>
      <c r="AH74" s="12">
        <v>0</v>
      </c>
      <c r="AI74" s="82"/>
      <c r="AJ74" s="64">
        <v>0</v>
      </c>
      <c r="AK74" s="85">
        <v>0.902</v>
      </c>
      <c r="AL74" s="66">
        <v>40285.8456</v>
      </c>
      <c r="AM74" s="56">
        <v>2.662</v>
      </c>
      <c r="AN74" s="66">
        <v>118892.37359999999</v>
      </c>
      <c r="AO74" s="17">
        <v>1.19</v>
      </c>
      <c r="AP74" s="74">
        <v>1.03</v>
      </c>
      <c r="AQ74" s="74">
        <v>0.16</v>
      </c>
      <c r="AR74" s="74">
        <v>53148.731999999996</v>
      </c>
    </row>
    <row r="75" spans="1:44" ht="12.75">
      <c r="A75" s="6">
        <v>67</v>
      </c>
      <c r="B75" s="80">
        <v>18</v>
      </c>
      <c r="C75" s="81" t="s">
        <v>208</v>
      </c>
      <c r="D75" s="80">
        <v>2392.9</v>
      </c>
      <c r="E75" s="85">
        <v>0.0027261481883904537</v>
      </c>
      <c r="F75" s="82">
        <v>17.59727385181161</v>
      </c>
      <c r="G75" s="82">
        <v>17.6</v>
      </c>
      <c r="H75" s="82">
        <v>505302.19920000003</v>
      </c>
      <c r="I75" s="5">
        <v>1.86</v>
      </c>
      <c r="J75" s="58">
        <v>53409.528000000006</v>
      </c>
      <c r="K75" s="82">
        <v>0.32</v>
      </c>
      <c r="L75" s="58">
        <v>9188.736</v>
      </c>
      <c r="M75" s="43">
        <v>0.06</v>
      </c>
      <c r="N75" s="58">
        <v>1722.8880000000001</v>
      </c>
      <c r="O75" s="82">
        <v>0.05</v>
      </c>
      <c r="P75" s="58">
        <v>1435.74</v>
      </c>
      <c r="Q75" s="12">
        <v>0.93</v>
      </c>
      <c r="R75" s="58">
        <v>26704.764000000003</v>
      </c>
      <c r="S75" s="82">
        <v>0.09</v>
      </c>
      <c r="T75" s="58">
        <v>2584.332</v>
      </c>
      <c r="U75" s="82">
        <v>3.1</v>
      </c>
      <c r="V75" s="58">
        <v>89015.88</v>
      </c>
      <c r="W75" s="85">
        <v>0.5432738518116093</v>
      </c>
      <c r="X75" s="58">
        <v>15600</v>
      </c>
      <c r="Y75" s="58"/>
      <c r="Z75" s="58">
        <v>0</v>
      </c>
      <c r="AA75" s="58"/>
      <c r="AB75" s="58"/>
      <c r="AC75" s="169">
        <v>5.89</v>
      </c>
      <c r="AD75" s="58">
        <v>169130.17200000002</v>
      </c>
      <c r="AE75" s="12">
        <v>0</v>
      </c>
      <c r="AF75" s="12">
        <v>0</v>
      </c>
      <c r="AG75" s="12"/>
      <c r="AH75" s="12">
        <v>0</v>
      </c>
      <c r="AI75" s="82"/>
      <c r="AJ75" s="64">
        <v>0</v>
      </c>
      <c r="AK75" s="85">
        <v>0.902</v>
      </c>
      <c r="AL75" s="66">
        <v>25900.749600000003</v>
      </c>
      <c r="AM75" s="56">
        <v>2.662</v>
      </c>
      <c r="AN75" s="66">
        <v>76438.7976</v>
      </c>
      <c r="AO75" s="17">
        <v>1.19</v>
      </c>
      <c r="AP75" s="74">
        <v>1.03</v>
      </c>
      <c r="AQ75" s="74">
        <v>0.16</v>
      </c>
      <c r="AR75" s="74">
        <v>34170.612</v>
      </c>
    </row>
    <row r="76" spans="1:44" ht="12.75">
      <c r="A76" s="6">
        <v>68</v>
      </c>
      <c r="B76" s="80">
        <v>19</v>
      </c>
      <c r="C76" s="81" t="s">
        <v>173</v>
      </c>
      <c r="D76" s="80">
        <v>1298.6</v>
      </c>
      <c r="E76" s="85">
        <v>-0.004000000000001336</v>
      </c>
      <c r="F76" s="82">
        <v>17.604000000000003</v>
      </c>
      <c r="G76" s="82">
        <v>17.6</v>
      </c>
      <c r="H76" s="82">
        <v>274326.6528</v>
      </c>
      <c r="I76" s="5">
        <v>1.86</v>
      </c>
      <c r="J76" s="58">
        <v>28984.751999999997</v>
      </c>
      <c r="K76" s="82">
        <v>0.32</v>
      </c>
      <c r="L76" s="58">
        <v>4986.624</v>
      </c>
      <c r="M76" s="43">
        <v>0.07</v>
      </c>
      <c r="N76" s="58">
        <v>1090.824</v>
      </c>
      <c r="O76" s="82">
        <v>0.02</v>
      </c>
      <c r="P76" s="58">
        <v>311.664</v>
      </c>
      <c r="Q76" s="12">
        <v>0.93</v>
      </c>
      <c r="R76" s="58">
        <v>14492.375999999998</v>
      </c>
      <c r="S76" s="82">
        <v>0.09</v>
      </c>
      <c r="T76" s="58">
        <v>1402.4879999999998</v>
      </c>
      <c r="U76" s="82">
        <v>3.61</v>
      </c>
      <c r="V76" s="58">
        <v>56255.352</v>
      </c>
      <c r="W76" s="38"/>
      <c r="X76" s="58"/>
      <c r="Y76" s="58"/>
      <c r="Z76" s="58">
        <v>0</v>
      </c>
      <c r="AA76" s="58"/>
      <c r="AB76" s="58"/>
      <c r="AC76" s="169">
        <v>5.95</v>
      </c>
      <c r="AD76" s="58">
        <v>92720.04</v>
      </c>
      <c r="AE76" s="12">
        <v>0</v>
      </c>
      <c r="AF76" s="12">
        <v>0</v>
      </c>
      <c r="AG76" s="12"/>
      <c r="AH76" s="12">
        <v>0</v>
      </c>
      <c r="AI76" s="82"/>
      <c r="AJ76" s="64">
        <v>0</v>
      </c>
      <c r="AK76" s="85">
        <v>0.902</v>
      </c>
      <c r="AL76" s="66">
        <v>14056.0464</v>
      </c>
      <c r="AM76" s="56">
        <v>2.662</v>
      </c>
      <c r="AN76" s="66">
        <v>41482.47839999999</v>
      </c>
      <c r="AO76" s="17">
        <v>1.19</v>
      </c>
      <c r="AP76" s="74">
        <v>1.03</v>
      </c>
      <c r="AQ76" s="74">
        <v>0.16</v>
      </c>
      <c r="AR76" s="74">
        <v>18544.007999999998</v>
      </c>
    </row>
    <row r="77" spans="1:44" ht="12.75">
      <c r="A77" s="6">
        <v>69</v>
      </c>
      <c r="B77" s="80">
        <v>20</v>
      </c>
      <c r="C77" s="86" t="s">
        <v>174</v>
      </c>
      <c r="D77" s="170">
        <v>3197.2</v>
      </c>
      <c r="E77" s="85">
        <v>-0.004275976901549683</v>
      </c>
      <c r="F77" s="82">
        <v>17.60427597690155</v>
      </c>
      <c r="G77" s="82">
        <v>17.6</v>
      </c>
      <c r="H77" s="82">
        <v>682177.8335999999</v>
      </c>
      <c r="I77" s="5">
        <v>1.86</v>
      </c>
      <c r="J77" s="58">
        <v>71361.504</v>
      </c>
      <c r="K77" s="82">
        <v>0.32</v>
      </c>
      <c r="L77" s="58">
        <v>12277.248</v>
      </c>
      <c r="M77" s="43">
        <v>0.06</v>
      </c>
      <c r="N77" s="58">
        <v>2301.984</v>
      </c>
      <c r="O77" s="82">
        <v>0.08</v>
      </c>
      <c r="P77" s="58">
        <v>3069.312</v>
      </c>
      <c r="Q77" s="12">
        <v>0.93</v>
      </c>
      <c r="R77" s="58">
        <v>35680.752</v>
      </c>
      <c r="S77" s="82">
        <v>0.09</v>
      </c>
      <c r="T77" s="58">
        <v>3452.9759999999997</v>
      </c>
      <c r="U77" s="82">
        <v>4</v>
      </c>
      <c r="V77" s="58">
        <v>153465.6</v>
      </c>
      <c r="W77" s="120">
        <v>0.2302759769015482</v>
      </c>
      <c r="X77" s="146">
        <v>15600</v>
      </c>
      <c r="Y77" s="58"/>
      <c r="Z77" s="58">
        <v>0</v>
      </c>
      <c r="AA77" s="58"/>
      <c r="AB77" s="58"/>
      <c r="AC77" s="169">
        <v>5.28</v>
      </c>
      <c r="AD77" s="58">
        <v>202574.592</v>
      </c>
      <c r="AE77" s="12">
        <v>0</v>
      </c>
      <c r="AF77" s="12">
        <v>0</v>
      </c>
      <c r="AG77" s="12"/>
      <c r="AH77" s="12">
        <v>0</v>
      </c>
      <c r="AI77" s="82"/>
      <c r="AJ77" s="64">
        <v>0</v>
      </c>
      <c r="AK77" s="85">
        <v>0.902</v>
      </c>
      <c r="AL77" s="66">
        <v>34606.49279999999</v>
      </c>
      <c r="AM77" s="56">
        <v>2.662</v>
      </c>
      <c r="AN77" s="66">
        <v>102131.35679999998</v>
      </c>
      <c r="AO77" s="17">
        <v>1.19</v>
      </c>
      <c r="AP77" s="74">
        <v>1.03</v>
      </c>
      <c r="AQ77" s="74">
        <v>0.16</v>
      </c>
      <c r="AR77" s="74">
        <v>45656.015999999996</v>
      </c>
    </row>
    <row r="78" spans="1:44" ht="12.75">
      <c r="A78" s="16"/>
      <c r="B78" s="80"/>
      <c r="C78" s="86" t="s">
        <v>175</v>
      </c>
      <c r="D78" s="43">
        <v>422.8</v>
      </c>
      <c r="E78" s="85">
        <v>-0.003999999999997783</v>
      </c>
      <c r="F78" s="82">
        <v>18.384</v>
      </c>
      <c r="G78" s="82">
        <v>18.38</v>
      </c>
      <c r="H78" s="82">
        <v>93273.06240000001</v>
      </c>
      <c r="I78" s="112">
        <v>1.77</v>
      </c>
      <c r="J78" s="58">
        <v>8980.272</v>
      </c>
      <c r="K78" s="82">
        <v>0.3</v>
      </c>
      <c r="L78" s="58">
        <v>1522.08</v>
      </c>
      <c r="M78" s="43">
        <v>0.06</v>
      </c>
      <c r="N78" s="58">
        <v>304.416</v>
      </c>
      <c r="O78" s="82">
        <v>0.08</v>
      </c>
      <c r="P78" s="58">
        <v>405.888</v>
      </c>
      <c r="Q78" s="12">
        <v>0.88</v>
      </c>
      <c r="R78" s="58">
        <v>4464.768</v>
      </c>
      <c r="S78" s="82">
        <v>0.08</v>
      </c>
      <c r="T78" s="58">
        <v>405.888</v>
      </c>
      <c r="U78" s="82">
        <v>4</v>
      </c>
      <c r="V78" s="58">
        <v>20294.4</v>
      </c>
      <c r="W78" s="145"/>
      <c r="X78" s="154"/>
      <c r="Y78" s="58"/>
      <c r="Z78" s="58">
        <v>0</v>
      </c>
      <c r="AA78" s="58"/>
      <c r="AB78" s="58"/>
      <c r="AC78" s="169">
        <v>5.37</v>
      </c>
      <c r="AD78" s="58">
        <v>27245.232000000004</v>
      </c>
      <c r="AE78" s="12">
        <v>0</v>
      </c>
      <c r="AF78" s="12">
        <v>0</v>
      </c>
      <c r="AG78" s="12">
        <v>1.09</v>
      </c>
      <c r="AH78" s="64">
        <v>5530.224</v>
      </c>
      <c r="AI78" s="82"/>
      <c r="AJ78" s="64">
        <v>0</v>
      </c>
      <c r="AK78" s="85">
        <v>0.902</v>
      </c>
      <c r="AL78" s="66">
        <v>4576.3872</v>
      </c>
      <c r="AM78" s="56">
        <v>2.662</v>
      </c>
      <c r="AN78" s="66">
        <v>13505.923200000001</v>
      </c>
      <c r="AO78" s="17">
        <v>1.19</v>
      </c>
      <c r="AP78" s="74">
        <v>1.03</v>
      </c>
      <c r="AQ78" s="74">
        <v>0.16</v>
      </c>
      <c r="AR78" s="74">
        <v>6037.584</v>
      </c>
    </row>
    <row r="79" spans="1:44" ht="12.75">
      <c r="A79" s="16"/>
      <c r="B79" s="80"/>
      <c r="C79" s="87" t="s">
        <v>252</v>
      </c>
      <c r="D79" s="43">
        <v>2025.4</v>
      </c>
      <c r="E79" s="85">
        <v>-0.003394773039889998</v>
      </c>
      <c r="F79" s="82">
        <v>29.42339477303989</v>
      </c>
      <c r="G79" s="82">
        <v>29.42</v>
      </c>
      <c r="H79" s="82">
        <v>710315.1792000001</v>
      </c>
      <c r="I79" s="112">
        <v>1.77</v>
      </c>
      <c r="J79" s="58">
        <v>43019.496</v>
      </c>
      <c r="K79" s="82">
        <v>0.3</v>
      </c>
      <c r="L79" s="58">
        <v>7291.44</v>
      </c>
      <c r="M79" s="43">
        <v>0.06</v>
      </c>
      <c r="N79" s="58">
        <v>1458.288</v>
      </c>
      <c r="O79" s="82">
        <v>0.08</v>
      </c>
      <c r="P79" s="58">
        <v>1944.384</v>
      </c>
      <c r="Q79" s="12">
        <v>0.88</v>
      </c>
      <c r="R79" s="58">
        <v>21388.224000000002</v>
      </c>
      <c r="S79" s="82">
        <v>0.08</v>
      </c>
      <c r="T79" s="58">
        <v>1944.384</v>
      </c>
      <c r="U79" s="82">
        <v>5.09</v>
      </c>
      <c r="V79" s="58">
        <v>123711.432</v>
      </c>
      <c r="W79" s="121"/>
      <c r="X79" s="147"/>
      <c r="Y79" s="58"/>
      <c r="Z79" s="58">
        <v>0</v>
      </c>
      <c r="AA79" s="58"/>
      <c r="AB79" s="58"/>
      <c r="AC79" s="169">
        <v>8.9</v>
      </c>
      <c r="AD79" s="58">
        <v>216312.72</v>
      </c>
      <c r="AE79" s="83">
        <v>6.4193947730398895</v>
      </c>
      <c r="AF79" s="58">
        <v>151207.56</v>
      </c>
      <c r="AG79" s="12">
        <v>1.09</v>
      </c>
      <c r="AH79" s="64">
        <v>26492.232000000004</v>
      </c>
      <c r="AI79" s="82"/>
      <c r="AJ79" s="64">
        <v>0</v>
      </c>
      <c r="AK79" s="85">
        <v>0.902</v>
      </c>
      <c r="AL79" s="66">
        <v>21922.929600000003</v>
      </c>
      <c r="AM79" s="56">
        <v>2.662</v>
      </c>
      <c r="AN79" s="66">
        <v>64699.37760000001</v>
      </c>
      <c r="AO79" s="17">
        <v>1.19</v>
      </c>
      <c r="AP79" s="74">
        <v>1.03</v>
      </c>
      <c r="AQ79" s="74">
        <v>0.16</v>
      </c>
      <c r="AR79" s="74">
        <v>28922.712</v>
      </c>
    </row>
    <row r="80" spans="1:44" ht="12.75">
      <c r="A80" s="6">
        <v>70</v>
      </c>
      <c r="B80" s="80">
        <v>21</v>
      </c>
      <c r="C80" s="81" t="s">
        <v>176</v>
      </c>
      <c r="D80" s="168">
        <v>1258.3</v>
      </c>
      <c r="E80" s="85">
        <v>-0.0024169117062697865</v>
      </c>
      <c r="F80" s="82">
        <v>17.60241691170627</v>
      </c>
      <c r="G80" s="82">
        <v>17.6</v>
      </c>
      <c r="H80" s="82">
        <v>265789.4544</v>
      </c>
      <c r="I80" s="5">
        <v>1.86</v>
      </c>
      <c r="J80" s="58">
        <v>28085.256</v>
      </c>
      <c r="K80" s="82">
        <v>0.32</v>
      </c>
      <c r="L80" s="58">
        <v>4831.872</v>
      </c>
      <c r="M80" s="43">
        <v>0.06</v>
      </c>
      <c r="N80" s="58">
        <v>905.9759999999999</v>
      </c>
      <c r="O80" s="82"/>
      <c r="P80" s="58">
        <v>0</v>
      </c>
      <c r="Q80" s="12">
        <v>0.93</v>
      </c>
      <c r="R80" s="58">
        <v>14042.628</v>
      </c>
      <c r="S80" s="82">
        <v>0.09</v>
      </c>
      <c r="T80" s="58">
        <v>1358.964</v>
      </c>
      <c r="U80" s="82">
        <v>3.1</v>
      </c>
      <c r="V80" s="58">
        <v>46808.76</v>
      </c>
      <c r="W80" s="85">
        <v>0.23841691170627036</v>
      </c>
      <c r="X80" s="58">
        <v>3600</v>
      </c>
      <c r="Y80" s="58"/>
      <c r="Z80" s="58">
        <v>0</v>
      </c>
      <c r="AA80" s="58"/>
      <c r="AB80" s="58"/>
      <c r="AC80" s="169">
        <v>6.25</v>
      </c>
      <c r="AD80" s="58">
        <v>94372.5</v>
      </c>
      <c r="AE80" s="12">
        <v>0</v>
      </c>
      <c r="AF80" s="12">
        <v>0</v>
      </c>
      <c r="AG80" s="12"/>
      <c r="AH80" s="12">
        <v>0</v>
      </c>
      <c r="AI80" s="82"/>
      <c r="AJ80" s="64">
        <v>0</v>
      </c>
      <c r="AK80" s="85">
        <v>0.902</v>
      </c>
      <c r="AL80" s="66">
        <v>13619.839199999999</v>
      </c>
      <c r="AM80" s="56">
        <v>2.662</v>
      </c>
      <c r="AN80" s="66">
        <v>40195.1352</v>
      </c>
      <c r="AO80" s="17">
        <v>1.19</v>
      </c>
      <c r="AP80" s="74">
        <v>1.03</v>
      </c>
      <c r="AQ80" s="74">
        <v>0.16</v>
      </c>
      <c r="AR80" s="74">
        <v>17968.523999999998</v>
      </c>
    </row>
    <row r="81" spans="1:44" ht="12.75">
      <c r="A81" s="6">
        <v>71</v>
      </c>
      <c r="B81" s="80">
        <v>22</v>
      </c>
      <c r="C81" s="81" t="s">
        <v>177</v>
      </c>
      <c r="D81" s="80">
        <v>6215.6</v>
      </c>
      <c r="E81" s="85">
        <v>-0.0035939249629954872</v>
      </c>
      <c r="F81" s="82">
        <v>17.603593924962997</v>
      </c>
      <c r="G81" s="82">
        <v>17.6</v>
      </c>
      <c r="H81" s="82">
        <v>1313002.7808</v>
      </c>
      <c r="I81" s="5">
        <v>1.86</v>
      </c>
      <c r="J81" s="58">
        <v>138732.192</v>
      </c>
      <c r="K81" s="82">
        <v>0.32</v>
      </c>
      <c r="L81" s="58">
        <v>23867.904000000002</v>
      </c>
      <c r="M81" s="43">
        <v>0.07</v>
      </c>
      <c r="N81" s="58">
        <v>5221.104</v>
      </c>
      <c r="O81" s="82">
        <v>0.05</v>
      </c>
      <c r="P81" s="58">
        <v>3729.36</v>
      </c>
      <c r="Q81" s="12">
        <v>0.93</v>
      </c>
      <c r="R81" s="58">
        <v>69366.096</v>
      </c>
      <c r="S81" s="82">
        <v>0.09</v>
      </c>
      <c r="T81" s="58">
        <v>6712.848</v>
      </c>
      <c r="U81" s="82">
        <v>3.9</v>
      </c>
      <c r="V81" s="58">
        <v>290890.08</v>
      </c>
      <c r="W81" s="85">
        <v>0.2895939249629963</v>
      </c>
      <c r="X81" s="58">
        <v>21600</v>
      </c>
      <c r="Y81" s="58"/>
      <c r="Z81" s="58">
        <v>0</v>
      </c>
      <c r="AA81" s="58"/>
      <c r="AB81" s="58"/>
      <c r="AC81" s="169">
        <v>5.34</v>
      </c>
      <c r="AD81" s="58">
        <v>398295.64800000004</v>
      </c>
      <c r="AE81" s="12">
        <v>0</v>
      </c>
      <c r="AF81" s="12">
        <v>0</v>
      </c>
      <c r="AG81" s="12"/>
      <c r="AH81" s="12">
        <v>0</v>
      </c>
      <c r="AI81" s="82"/>
      <c r="AJ81" s="64">
        <v>0</v>
      </c>
      <c r="AK81" s="85">
        <v>0.902</v>
      </c>
      <c r="AL81" s="66">
        <v>67277.65440000001</v>
      </c>
      <c r="AM81" s="56">
        <v>2.662</v>
      </c>
      <c r="AN81" s="66">
        <v>198551.1264</v>
      </c>
      <c r="AO81" s="17">
        <v>1.19</v>
      </c>
      <c r="AP81" s="74">
        <v>1.03</v>
      </c>
      <c r="AQ81" s="74">
        <v>0.16</v>
      </c>
      <c r="AR81" s="74">
        <v>88758.76800000001</v>
      </c>
    </row>
    <row r="82" spans="1:44" ht="12.75">
      <c r="A82" s="6">
        <v>72</v>
      </c>
      <c r="B82" s="80">
        <v>23</v>
      </c>
      <c r="C82" s="81" t="s">
        <v>178</v>
      </c>
      <c r="D82" s="80">
        <v>1253.4</v>
      </c>
      <c r="E82" s="85">
        <v>-0.0033489707994256435</v>
      </c>
      <c r="F82" s="82">
        <v>17.603348970799427</v>
      </c>
      <c r="G82" s="82">
        <v>17.6</v>
      </c>
      <c r="H82" s="82">
        <v>264768.4512</v>
      </c>
      <c r="I82" s="5">
        <v>1.86</v>
      </c>
      <c r="J82" s="58">
        <v>27975.888</v>
      </c>
      <c r="K82" s="82">
        <v>0.32</v>
      </c>
      <c r="L82" s="58">
        <v>4813.0560000000005</v>
      </c>
      <c r="M82" s="43">
        <v>0.06</v>
      </c>
      <c r="N82" s="58">
        <v>902.4480000000001</v>
      </c>
      <c r="O82" s="82"/>
      <c r="P82" s="58">
        <v>0</v>
      </c>
      <c r="Q82" s="12">
        <v>0.93</v>
      </c>
      <c r="R82" s="58">
        <v>13987.944</v>
      </c>
      <c r="S82" s="82">
        <v>0.09</v>
      </c>
      <c r="T82" s="58">
        <v>1353.672</v>
      </c>
      <c r="U82" s="82">
        <v>3.41</v>
      </c>
      <c r="V82" s="58">
        <v>51289.128</v>
      </c>
      <c r="W82" s="85">
        <v>0.23934897079942555</v>
      </c>
      <c r="X82" s="58">
        <v>3600</v>
      </c>
      <c r="Y82" s="58"/>
      <c r="Z82" s="58">
        <v>0</v>
      </c>
      <c r="AA82" s="58"/>
      <c r="AB82" s="58"/>
      <c r="AC82" s="169">
        <v>5.94</v>
      </c>
      <c r="AD82" s="58">
        <v>89342.352</v>
      </c>
      <c r="AE82" s="12">
        <v>0</v>
      </c>
      <c r="AF82" s="12">
        <v>0</v>
      </c>
      <c r="AG82" s="12"/>
      <c r="AH82" s="12">
        <v>0</v>
      </c>
      <c r="AI82" s="82"/>
      <c r="AJ82" s="64">
        <v>0</v>
      </c>
      <c r="AK82" s="85">
        <v>0.902</v>
      </c>
      <c r="AL82" s="66">
        <v>13566.8016</v>
      </c>
      <c r="AM82" s="56">
        <v>2.662</v>
      </c>
      <c r="AN82" s="66">
        <v>40038.609599999996</v>
      </c>
      <c r="AO82" s="17">
        <v>1.19</v>
      </c>
      <c r="AP82" s="74">
        <v>1.03</v>
      </c>
      <c r="AQ82" s="74">
        <v>0.16</v>
      </c>
      <c r="AR82" s="74">
        <v>17898.552</v>
      </c>
    </row>
    <row r="83" spans="1:44" ht="12.75">
      <c r="A83" s="6">
        <v>73</v>
      </c>
      <c r="B83" s="80">
        <v>24</v>
      </c>
      <c r="C83" s="81" t="s">
        <v>179</v>
      </c>
      <c r="D83" s="80">
        <v>1950.3</v>
      </c>
      <c r="E83" s="85">
        <v>0.003258370507101205</v>
      </c>
      <c r="F83" s="82">
        <v>17.5967416294929</v>
      </c>
      <c r="G83" s="82">
        <v>17.6</v>
      </c>
      <c r="H83" s="82">
        <v>411827.10240000003</v>
      </c>
      <c r="I83" s="5">
        <v>1.86</v>
      </c>
      <c r="J83" s="58">
        <v>43530.695999999996</v>
      </c>
      <c r="K83" s="82">
        <v>0.32</v>
      </c>
      <c r="L83" s="58">
        <v>7489.152</v>
      </c>
      <c r="M83" s="43">
        <v>0.06</v>
      </c>
      <c r="N83" s="58">
        <v>1404.216</v>
      </c>
      <c r="O83" s="82">
        <v>0.01</v>
      </c>
      <c r="P83" s="58">
        <v>234.036</v>
      </c>
      <c r="Q83" s="12">
        <v>0.93</v>
      </c>
      <c r="R83" s="58">
        <v>21765.347999999998</v>
      </c>
      <c r="S83" s="82">
        <v>0.09</v>
      </c>
      <c r="T83" s="58">
        <v>2106.3239999999996</v>
      </c>
      <c r="U83" s="82">
        <v>3.1</v>
      </c>
      <c r="V83" s="58">
        <v>72551.16</v>
      </c>
      <c r="W83" s="85">
        <v>0.5127416294928985</v>
      </c>
      <c r="X83" s="58">
        <v>12000</v>
      </c>
      <c r="Y83" s="58"/>
      <c r="Z83" s="58">
        <v>0</v>
      </c>
      <c r="AA83" s="58"/>
      <c r="AB83" s="58"/>
      <c r="AC83" s="169">
        <v>5.96</v>
      </c>
      <c r="AD83" s="58">
        <v>139485.45600000003</v>
      </c>
      <c r="AE83" s="12">
        <v>0</v>
      </c>
      <c r="AF83" s="12">
        <v>0</v>
      </c>
      <c r="AG83" s="12"/>
      <c r="AH83" s="12">
        <v>0</v>
      </c>
      <c r="AI83" s="82"/>
      <c r="AJ83" s="64">
        <v>0</v>
      </c>
      <c r="AK83" s="85">
        <v>0.902</v>
      </c>
      <c r="AL83" s="66">
        <v>21110.0472</v>
      </c>
      <c r="AM83" s="56">
        <v>2.662</v>
      </c>
      <c r="AN83" s="66">
        <v>62300.3832</v>
      </c>
      <c r="AO83" s="17">
        <v>1.19</v>
      </c>
      <c r="AP83" s="74">
        <v>1.03</v>
      </c>
      <c r="AQ83" s="74">
        <v>0.16</v>
      </c>
      <c r="AR83" s="74">
        <v>27850.284</v>
      </c>
    </row>
    <row r="84" spans="1:44" ht="12.75">
      <c r="A84" s="6">
        <v>74</v>
      </c>
      <c r="B84" s="80">
        <v>25</v>
      </c>
      <c r="C84" s="81" t="s">
        <v>180</v>
      </c>
      <c r="D84" s="80">
        <v>1952.1</v>
      </c>
      <c r="E84" s="85">
        <v>0.0037311613134569654</v>
      </c>
      <c r="F84" s="82">
        <v>17.596268838686544</v>
      </c>
      <c r="G84" s="82">
        <v>17.6</v>
      </c>
      <c r="H84" s="82">
        <v>412196.1168</v>
      </c>
      <c r="I84" s="5">
        <v>1.86</v>
      </c>
      <c r="J84" s="58">
        <v>43570.872</v>
      </c>
      <c r="K84" s="82">
        <v>0.32</v>
      </c>
      <c r="L84" s="58">
        <v>7496.064</v>
      </c>
      <c r="M84" s="43">
        <v>0.06</v>
      </c>
      <c r="N84" s="58">
        <v>1405.512</v>
      </c>
      <c r="O84" s="82">
        <v>0.03</v>
      </c>
      <c r="P84" s="58">
        <v>702.756</v>
      </c>
      <c r="Q84" s="12">
        <v>0.93</v>
      </c>
      <c r="R84" s="58">
        <v>21785.436</v>
      </c>
      <c r="S84" s="82">
        <v>0.09</v>
      </c>
      <c r="T84" s="58">
        <v>2108.268</v>
      </c>
      <c r="U84" s="82">
        <v>3.1</v>
      </c>
      <c r="V84" s="58">
        <v>72618.12</v>
      </c>
      <c r="W84" s="85">
        <v>0.5122688386865427</v>
      </c>
      <c r="X84" s="58">
        <v>12000</v>
      </c>
      <c r="Y84" s="58"/>
      <c r="Z84" s="58">
        <v>0</v>
      </c>
      <c r="AA84" s="58"/>
      <c r="AB84" s="58"/>
      <c r="AC84" s="169">
        <v>5.94</v>
      </c>
      <c r="AD84" s="58">
        <v>139145.68799999997</v>
      </c>
      <c r="AE84" s="12">
        <v>0</v>
      </c>
      <c r="AF84" s="12">
        <v>0</v>
      </c>
      <c r="AG84" s="12"/>
      <c r="AH84" s="12">
        <v>0</v>
      </c>
      <c r="AI84" s="82"/>
      <c r="AJ84" s="64">
        <v>0</v>
      </c>
      <c r="AK84" s="85">
        <v>0.902</v>
      </c>
      <c r="AL84" s="66">
        <v>21129.5304</v>
      </c>
      <c r="AM84" s="56">
        <v>2.662</v>
      </c>
      <c r="AN84" s="66">
        <v>62357.88239999999</v>
      </c>
      <c r="AO84" s="17">
        <v>1.19</v>
      </c>
      <c r="AP84" s="74">
        <v>1.03</v>
      </c>
      <c r="AQ84" s="74">
        <v>0.16</v>
      </c>
      <c r="AR84" s="74">
        <v>27875.987999999998</v>
      </c>
    </row>
    <row r="85" spans="1:44" ht="12.75">
      <c r="A85" s="6">
        <v>75</v>
      </c>
      <c r="B85" s="80">
        <v>26</v>
      </c>
      <c r="C85" s="81" t="s">
        <v>181</v>
      </c>
      <c r="D85" s="80">
        <v>2002.4</v>
      </c>
      <c r="E85" s="85">
        <v>-0.004000000000001336</v>
      </c>
      <c r="F85" s="82">
        <v>17.604000000000003</v>
      </c>
      <c r="G85" s="82">
        <v>17.6</v>
      </c>
      <c r="H85" s="82">
        <v>423002.9952</v>
      </c>
      <c r="I85" s="5">
        <v>1.86</v>
      </c>
      <c r="J85" s="58">
        <v>44693.56800000001</v>
      </c>
      <c r="K85" s="82">
        <v>0.32</v>
      </c>
      <c r="L85" s="58">
        <v>7689.216</v>
      </c>
      <c r="M85" s="43">
        <v>0.06</v>
      </c>
      <c r="N85" s="58">
        <v>1441.728</v>
      </c>
      <c r="O85" s="82">
        <v>0.01</v>
      </c>
      <c r="P85" s="58">
        <v>240.288</v>
      </c>
      <c r="Q85" s="12">
        <v>0.93</v>
      </c>
      <c r="R85" s="58">
        <v>22346.784000000003</v>
      </c>
      <c r="S85" s="82">
        <v>0.09</v>
      </c>
      <c r="T85" s="58">
        <v>2162.592</v>
      </c>
      <c r="U85" s="82">
        <v>3.6</v>
      </c>
      <c r="V85" s="58">
        <v>86503.68</v>
      </c>
      <c r="W85" s="38"/>
      <c r="X85" s="58"/>
      <c r="Y85" s="58"/>
      <c r="Z85" s="58">
        <v>0</v>
      </c>
      <c r="AA85" s="58"/>
      <c r="AB85" s="58"/>
      <c r="AC85" s="169">
        <v>5.98</v>
      </c>
      <c r="AD85" s="58">
        <v>143692.224</v>
      </c>
      <c r="AE85" s="12">
        <v>0</v>
      </c>
      <c r="AF85" s="12">
        <v>0</v>
      </c>
      <c r="AG85" s="12"/>
      <c r="AH85" s="12">
        <v>0</v>
      </c>
      <c r="AI85" s="82"/>
      <c r="AJ85" s="64">
        <v>0</v>
      </c>
      <c r="AK85" s="85">
        <v>0.902</v>
      </c>
      <c r="AL85" s="66">
        <v>21673.977600000002</v>
      </c>
      <c r="AM85" s="56">
        <v>2.662</v>
      </c>
      <c r="AN85" s="66">
        <v>63964.66559999999</v>
      </c>
      <c r="AO85" s="17">
        <v>1.19</v>
      </c>
      <c r="AP85" s="74">
        <v>1.03</v>
      </c>
      <c r="AQ85" s="74">
        <v>0.16</v>
      </c>
      <c r="AR85" s="74">
        <v>28594.272000000004</v>
      </c>
    </row>
    <row r="86" spans="1:44" ht="12.75">
      <c r="A86" s="6">
        <v>76</v>
      </c>
      <c r="B86" s="80">
        <v>27</v>
      </c>
      <c r="C86" s="81" t="s">
        <v>182</v>
      </c>
      <c r="D86" s="80">
        <v>2240.1</v>
      </c>
      <c r="E86" s="85">
        <v>-0.004331235212710283</v>
      </c>
      <c r="F86" s="82">
        <v>17.60433123521271</v>
      </c>
      <c r="G86" s="82">
        <v>17.6</v>
      </c>
      <c r="H86" s="82">
        <v>473225.5488</v>
      </c>
      <c r="I86" s="5">
        <v>1.86</v>
      </c>
      <c r="J86" s="58">
        <v>49999.03200000001</v>
      </c>
      <c r="K86" s="82">
        <v>0.32</v>
      </c>
      <c r="L86" s="58">
        <v>8601.984</v>
      </c>
      <c r="M86" s="43">
        <v>0.07</v>
      </c>
      <c r="N86" s="58">
        <v>1881.6840000000002</v>
      </c>
      <c r="O86" s="82">
        <v>0.01</v>
      </c>
      <c r="P86" s="58">
        <v>268.812</v>
      </c>
      <c r="Q86" s="12">
        <v>0.93</v>
      </c>
      <c r="R86" s="58">
        <v>24999.516000000003</v>
      </c>
      <c r="S86" s="82">
        <v>0.09</v>
      </c>
      <c r="T86" s="58">
        <v>2419.308</v>
      </c>
      <c r="U86" s="82">
        <v>3.11</v>
      </c>
      <c r="V86" s="58">
        <v>83600.53199999998</v>
      </c>
      <c r="W86" s="85">
        <v>0.5803312352127138</v>
      </c>
      <c r="X86" s="58">
        <v>15600</v>
      </c>
      <c r="Y86" s="58"/>
      <c r="Z86" s="58">
        <v>0</v>
      </c>
      <c r="AA86" s="58"/>
      <c r="AB86" s="58"/>
      <c r="AC86" s="169">
        <v>5.88</v>
      </c>
      <c r="AD86" s="58">
        <v>158061.456</v>
      </c>
      <c r="AE86" s="12">
        <v>0</v>
      </c>
      <c r="AF86" s="12">
        <v>0</v>
      </c>
      <c r="AG86" s="12"/>
      <c r="AH86" s="12">
        <v>0</v>
      </c>
      <c r="AI86" s="82"/>
      <c r="AJ86" s="64">
        <v>0</v>
      </c>
      <c r="AK86" s="85">
        <v>0.902</v>
      </c>
      <c r="AL86" s="66">
        <v>24246.842399999998</v>
      </c>
      <c r="AM86" s="56">
        <v>2.662</v>
      </c>
      <c r="AN86" s="66">
        <v>71557.75439999999</v>
      </c>
      <c r="AO86" s="17">
        <v>1.19</v>
      </c>
      <c r="AP86" s="74">
        <v>1.03</v>
      </c>
      <c r="AQ86" s="74">
        <v>0.16</v>
      </c>
      <c r="AR86" s="74">
        <v>31988.627999999997</v>
      </c>
    </row>
    <row r="87" spans="1:44" ht="12.75">
      <c r="A87" s="6">
        <v>77</v>
      </c>
      <c r="B87" s="80">
        <v>28</v>
      </c>
      <c r="C87" s="81" t="s">
        <v>183</v>
      </c>
      <c r="D87" s="80">
        <v>2058.4</v>
      </c>
      <c r="E87" s="85">
        <v>0.00025573260785094476</v>
      </c>
      <c r="F87" s="82">
        <v>17.59974426739215</v>
      </c>
      <c r="G87" s="82">
        <v>17.6</v>
      </c>
      <c r="H87" s="82">
        <v>434727.76320000004</v>
      </c>
      <c r="I87" s="5">
        <v>1.86</v>
      </c>
      <c r="J87" s="58">
        <v>45943.488000000005</v>
      </c>
      <c r="K87" s="82">
        <v>0.32</v>
      </c>
      <c r="L87" s="58">
        <v>7904.255999999999</v>
      </c>
      <c r="M87" s="43">
        <v>0.06</v>
      </c>
      <c r="N87" s="58">
        <v>1482.048</v>
      </c>
      <c r="O87" s="82"/>
      <c r="P87" s="58">
        <v>0</v>
      </c>
      <c r="Q87" s="12">
        <v>0.93</v>
      </c>
      <c r="R87" s="58">
        <v>22971.744000000002</v>
      </c>
      <c r="S87" s="82">
        <v>0.09</v>
      </c>
      <c r="T87" s="58">
        <v>2223.072</v>
      </c>
      <c r="U87" s="82">
        <v>3.6</v>
      </c>
      <c r="V87" s="58">
        <v>88922.88</v>
      </c>
      <c r="W87" s="85">
        <v>0.14574426739214924</v>
      </c>
      <c r="X87" s="58">
        <v>3600</v>
      </c>
      <c r="Y87" s="58"/>
      <c r="Z87" s="58">
        <v>0</v>
      </c>
      <c r="AA87" s="58"/>
      <c r="AB87" s="58"/>
      <c r="AC87" s="169">
        <v>5.84</v>
      </c>
      <c r="AD87" s="58">
        <v>144252.67200000002</v>
      </c>
      <c r="AE87" s="12">
        <v>0</v>
      </c>
      <c r="AF87" s="12">
        <v>0</v>
      </c>
      <c r="AG87" s="12"/>
      <c r="AH87" s="12">
        <v>0</v>
      </c>
      <c r="AI87" s="82"/>
      <c r="AJ87" s="64">
        <v>0</v>
      </c>
      <c r="AK87" s="85">
        <v>0.902</v>
      </c>
      <c r="AL87" s="66">
        <v>22280.121600000002</v>
      </c>
      <c r="AM87" s="56">
        <v>2.662</v>
      </c>
      <c r="AN87" s="66">
        <v>65753.5296</v>
      </c>
      <c r="AO87" s="17">
        <v>1.19</v>
      </c>
      <c r="AP87" s="74">
        <v>1.03</v>
      </c>
      <c r="AQ87" s="74">
        <v>0.16</v>
      </c>
      <c r="AR87" s="74">
        <v>29393.952</v>
      </c>
    </row>
    <row r="88" spans="1:44" ht="12.75">
      <c r="A88" s="6">
        <v>78</v>
      </c>
      <c r="B88" s="80">
        <v>29</v>
      </c>
      <c r="C88" s="81" t="s">
        <v>184</v>
      </c>
      <c r="D88" s="80">
        <v>2457.6</v>
      </c>
      <c r="E88" s="85">
        <v>-0.002971354166664497</v>
      </c>
      <c r="F88" s="82">
        <v>17.602971354166666</v>
      </c>
      <c r="G88" s="82">
        <v>17.6</v>
      </c>
      <c r="H88" s="82">
        <v>519132.74879999994</v>
      </c>
      <c r="I88" s="5">
        <v>1.86</v>
      </c>
      <c r="J88" s="58">
        <v>54853.632000000005</v>
      </c>
      <c r="K88" s="82">
        <v>0.32</v>
      </c>
      <c r="L88" s="58">
        <v>9437.184000000001</v>
      </c>
      <c r="M88" s="43">
        <v>0.07</v>
      </c>
      <c r="N88" s="58">
        <v>2064.384</v>
      </c>
      <c r="O88" s="82"/>
      <c r="P88" s="58">
        <v>0</v>
      </c>
      <c r="Q88" s="12">
        <v>0.93</v>
      </c>
      <c r="R88" s="58">
        <v>27426.816000000003</v>
      </c>
      <c r="S88" s="82">
        <v>0.09</v>
      </c>
      <c r="T88" s="58">
        <v>2654.208</v>
      </c>
      <c r="U88" s="82">
        <v>3.72</v>
      </c>
      <c r="V88" s="58">
        <v>109707.26399999997</v>
      </c>
      <c r="W88" s="85">
        <v>0.5289713541666666</v>
      </c>
      <c r="X88" s="58">
        <v>15600</v>
      </c>
      <c r="Y88" s="58"/>
      <c r="Z88" s="58">
        <v>0</v>
      </c>
      <c r="AA88" s="58"/>
      <c r="AB88" s="58"/>
      <c r="AC88" s="169">
        <v>5.33</v>
      </c>
      <c r="AD88" s="58">
        <v>157188.096</v>
      </c>
      <c r="AE88" s="12">
        <v>0</v>
      </c>
      <c r="AF88" s="12">
        <v>0</v>
      </c>
      <c r="AG88" s="12"/>
      <c r="AH88" s="12">
        <v>0</v>
      </c>
      <c r="AI88" s="82"/>
      <c r="AJ88" s="64">
        <v>0</v>
      </c>
      <c r="AK88" s="85">
        <v>0.902</v>
      </c>
      <c r="AL88" s="66">
        <v>26601.062400000003</v>
      </c>
      <c r="AM88" s="56">
        <v>2.662</v>
      </c>
      <c r="AN88" s="66">
        <v>78505.5744</v>
      </c>
      <c r="AO88" s="17">
        <v>1.19</v>
      </c>
      <c r="AP88" s="74">
        <v>1.03</v>
      </c>
      <c r="AQ88" s="74">
        <v>0.16</v>
      </c>
      <c r="AR88" s="74">
        <v>35094.528</v>
      </c>
    </row>
    <row r="89" spans="1:44" ht="12.75">
      <c r="A89" s="6">
        <v>79</v>
      </c>
      <c r="B89" s="80">
        <v>30</v>
      </c>
      <c r="C89" s="81" t="s">
        <v>231</v>
      </c>
      <c r="D89" s="43">
        <v>1776.1</v>
      </c>
      <c r="E89" s="85">
        <v>-0.004000000000001336</v>
      </c>
      <c r="F89" s="82">
        <v>17.604000000000003</v>
      </c>
      <c r="G89" s="82">
        <v>17.6</v>
      </c>
      <c r="H89" s="82">
        <v>375197.57279999997</v>
      </c>
      <c r="I89" s="112">
        <v>1.69</v>
      </c>
      <c r="J89" s="58">
        <v>36019.308</v>
      </c>
      <c r="K89" s="82">
        <v>0.32</v>
      </c>
      <c r="L89" s="58">
        <v>6820.224</v>
      </c>
      <c r="M89" s="43">
        <v>0.12</v>
      </c>
      <c r="N89" s="58">
        <v>2557.584</v>
      </c>
      <c r="O89" s="82"/>
      <c r="P89" s="58">
        <v>0</v>
      </c>
      <c r="Q89" s="43">
        <v>0.93</v>
      </c>
      <c r="R89" s="58">
        <v>19821.275999999998</v>
      </c>
      <c r="S89" s="83">
        <v>0.09</v>
      </c>
      <c r="T89" s="58">
        <v>1918.1879999999999</v>
      </c>
      <c r="U89" s="82">
        <v>3.2</v>
      </c>
      <c r="V89" s="58">
        <v>68202.24</v>
      </c>
      <c r="W89" s="38"/>
      <c r="X89" s="58"/>
      <c r="Y89" s="58"/>
      <c r="Z89" s="58">
        <v>0</v>
      </c>
      <c r="AA89" s="58"/>
      <c r="AB89" s="58"/>
      <c r="AC89" s="169">
        <v>6.5</v>
      </c>
      <c r="AD89" s="58">
        <v>138535.8</v>
      </c>
      <c r="AE89" s="84"/>
      <c r="AF89" s="12">
        <v>0</v>
      </c>
      <c r="AG89" s="84"/>
      <c r="AH89" s="12">
        <v>0</v>
      </c>
      <c r="AI89" s="82"/>
      <c r="AJ89" s="64">
        <v>0</v>
      </c>
      <c r="AK89" s="85">
        <v>0.902</v>
      </c>
      <c r="AL89" s="66">
        <v>19224.5064</v>
      </c>
      <c r="AM89" s="56">
        <v>2.662</v>
      </c>
      <c r="AN89" s="66">
        <v>56735.738399999995</v>
      </c>
      <c r="AO89" s="17">
        <v>1.19</v>
      </c>
      <c r="AP89" s="74">
        <v>1.03</v>
      </c>
      <c r="AQ89" s="74">
        <v>0.16</v>
      </c>
      <c r="AR89" s="74">
        <v>25362.708</v>
      </c>
    </row>
    <row r="90" spans="1:44" ht="12.75">
      <c r="A90" s="6">
        <v>80</v>
      </c>
      <c r="B90" s="80">
        <v>31</v>
      </c>
      <c r="C90" s="81" t="s">
        <v>101</v>
      </c>
      <c r="D90" s="43">
        <v>6290.3</v>
      </c>
      <c r="E90" s="85">
        <v>-0.004001112824507658</v>
      </c>
      <c r="F90" s="82">
        <v>17.60400111282451</v>
      </c>
      <c r="G90" s="82">
        <v>17.6</v>
      </c>
      <c r="H90" s="82">
        <v>1328813.3784</v>
      </c>
      <c r="I90" s="5">
        <v>1.86</v>
      </c>
      <c r="J90" s="58">
        <v>140399.496</v>
      </c>
      <c r="K90" s="82">
        <v>0.32</v>
      </c>
      <c r="L90" s="58">
        <v>24154.752</v>
      </c>
      <c r="M90" s="43">
        <v>0.06</v>
      </c>
      <c r="N90" s="58">
        <v>4529.016</v>
      </c>
      <c r="O90" s="83"/>
      <c r="P90" s="58">
        <v>0</v>
      </c>
      <c r="Q90" s="12">
        <v>0.93</v>
      </c>
      <c r="R90" s="58">
        <v>70199.748</v>
      </c>
      <c r="S90" s="82">
        <v>0.09</v>
      </c>
      <c r="T90" s="58">
        <v>6793.523999999999</v>
      </c>
      <c r="U90" s="82">
        <v>4</v>
      </c>
      <c r="V90" s="58">
        <v>301934.4</v>
      </c>
      <c r="W90" s="85">
        <v>0.31000111282450754</v>
      </c>
      <c r="X90" s="58">
        <v>23400</v>
      </c>
      <c r="Y90" s="82"/>
      <c r="Z90" s="58">
        <v>0</v>
      </c>
      <c r="AA90" s="58"/>
      <c r="AB90" s="58"/>
      <c r="AC90" s="169">
        <v>5.28</v>
      </c>
      <c r="AD90" s="58">
        <v>398553.408</v>
      </c>
      <c r="AE90" s="84">
        <v>0</v>
      </c>
      <c r="AF90" s="12">
        <v>0</v>
      </c>
      <c r="AG90" s="84"/>
      <c r="AH90" s="12">
        <v>0</v>
      </c>
      <c r="AI90" s="82"/>
      <c r="AJ90" s="64">
        <v>0</v>
      </c>
      <c r="AK90" s="85">
        <v>0.902</v>
      </c>
      <c r="AL90" s="66">
        <v>68086.2072</v>
      </c>
      <c r="AM90" s="56">
        <v>2.662</v>
      </c>
      <c r="AN90" s="66">
        <v>200937.3432</v>
      </c>
      <c r="AO90" s="17">
        <v>1.19</v>
      </c>
      <c r="AP90" s="74">
        <v>1.03</v>
      </c>
      <c r="AQ90" s="74">
        <v>0.16</v>
      </c>
      <c r="AR90" s="74">
        <v>89825.484</v>
      </c>
    </row>
    <row r="91" spans="1:44" ht="12.75">
      <c r="A91" s="6">
        <v>81</v>
      </c>
      <c r="B91" s="80">
        <v>32</v>
      </c>
      <c r="C91" s="81" t="s">
        <v>185</v>
      </c>
      <c r="D91" s="80">
        <v>958.9</v>
      </c>
      <c r="E91" s="85">
        <v>0.0031383877359481005</v>
      </c>
      <c r="F91" s="82">
        <v>17.596861612264053</v>
      </c>
      <c r="G91" s="82">
        <v>17.6</v>
      </c>
      <c r="H91" s="82">
        <v>202483.5672</v>
      </c>
      <c r="I91" s="5">
        <v>1.86</v>
      </c>
      <c r="J91" s="58">
        <v>21402.648</v>
      </c>
      <c r="K91" s="82">
        <v>0.32</v>
      </c>
      <c r="L91" s="58">
        <v>3682.1760000000004</v>
      </c>
      <c r="M91" s="43">
        <v>0.06</v>
      </c>
      <c r="N91" s="58">
        <v>690.408</v>
      </c>
      <c r="O91" s="82"/>
      <c r="P91" s="58">
        <v>0</v>
      </c>
      <c r="Q91" s="12">
        <v>0.93</v>
      </c>
      <c r="R91" s="58">
        <v>10701.324</v>
      </c>
      <c r="S91" s="82">
        <v>0.09</v>
      </c>
      <c r="T91" s="58">
        <v>1035.6119999999999</v>
      </c>
      <c r="U91" s="82">
        <v>3.27</v>
      </c>
      <c r="V91" s="58">
        <v>37627.236000000004</v>
      </c>
      <c r="W91" s="85">
        <v>1.0428616122640526</v>
      </c>
      <c r="X91" s="58">
        <v>12000</v>
      </c>
      <c r="Y91" s="58"/>
      <c r="Z91" s="58">
        <v>0</v>
      </c>
      <c r="AA91" s="58"/>
      <c r="AB91" s="58"/>
      <c r="AC91" s="169">
        <v>5.27</v>
      </c>
      <c r="AD91" s="58">
        <v>60640.835999999996</v>
      </c>
      <c r="AE91" s="12">
        <v>0</v>
      </c>
      <c r="AF91" s="12">
        <v>0</v>
      </c>
      <c r="AG91" s="12"/>
      <c r="AH91" s="12">
        <v>0</v>
      </c>
      <c r="AI91" s="82"/>
      <c r="AJ91" s="64">
        <v>0</v>
      </c>
      <c r="AK91" s="85">
        <v>0.902</v>
      </c>
      <c r="AL91" s="66">
        <v>10379.133600000001</v>
      </c>
      <c r="AM91" s="56">
        <v>2.662</v>
      </c>
      <c r="AN91" s="66">
        <v>30631.101599999995</v>
      </c>
      <c r="AO91" s="17">
        <v>1.19</v>
      </c>
      <c r="AP91" s="74">
        <v>1.03</v>
      </c>
      <c r="AQ91" s="74">
        <v>0.16</v>
      </c>
      <c r="AR91" s="74">
        <v>13693.091999999999</v>
      </c>
    </row>
    <row r="92" spans="1:44" ht="12.75">
      <c r="A92" s="6">
        <v>82</v>
      </c>
      <c r="B92" s="80">
        <v>33</v>
      </c>
      <c r="C92" s="81" t="s">
        <v>186</v>
      </c>
      <c r="D92" s="80">
        <v>975.5</v>
      </c>
      <c r="E92" s="85">
        <v>-0.0015345976422320717</v>
      </c>
      <c r="F92" s="82">
        <v>15.261534597642232</v>
      </c>
      <c r="G92" s="82">
        <v>15.26</v>
      </c>
      <c r="H92" s="82">
        <v>178651.52400000003</v>
      </c>
      <c r="I92" s="5">
        <v>1.86</v>
      </c>
      <c r="J92" s="58">
        <v>21773.16</v>
      </c>
      <c r="K92" s="82">
        <v>0.32</v>
      </c>
      <c r="L92" s="58">
        <v>3745.92</v>
      </c>
      <c r="M92" s="43">
        <v>0.06</v>
      </c>
      <c r="N92" s="58">
        <v>702.36</v>
      </c>
      <c r="O92" s="82"/>
      <c r="P92" s="58">
        <v>0</v>
      </c>
      <c r="Q92" s="12">
        <v>0.93</v>
      </c>
      <c r="R92" s="58">
        <v>10886.58</v>
      </c>
      <c r="S92" s="82">
        <v>0.09</v>
      </c>
      <c r="T92" s="58">
        <v>1053.54</v>
      </c>
      <c r="U92" s="82">
        <v>3.1</v>
      </c>
      <c r="V92" s="58">
        <v>36288.6</v>
      </c>
      <c r="W92" s="85">
        <v>0.30753459764223473</v>
      </c>
      <c r="X92" s="58">
        <v>3600</v>
      </c>
      <c r="Y92" s="58"/>
      <c r="Z92" s="58">
        <v>0</v>
      </c>
      <c r="AA92" s="58"/>
      <c r="AB92" s="58"/>
      <c r="AC92" s="169">
        <v>3.84</v>
      </c>
      <c r="AD92" s="58">
        <v>44951.04</v>
      </c>
      <c r="AE92" s="12">
        <v>0</v>
      </c>
      <c r="AF92" s="12">
        <v>0</v>
      </c>
      <c r="AG92" s="12"/>
      <c r="AH92" s="12">
        <v>0</v>
      </c>
      <c r="AI92" s="82"/>
      <c r="AJ92" s="64">
        <v>0</v>
      </c>
      <c r="AK92" s="85">
        <v>0.902</v>
      </c>
      <c r="AL92" s="66">
        <v>10558.812000000002</v>
      </c>
      <c r="AM92" s="56">
        <v>2.662</v>
      </c>
      <c r="AN92" s="66">
        <v>31161.372</v>
      </c>
      <c r="AO92" s="17">
        <v>1.19</v>
      </c>
      <c r="AP92" s="74">
        <v>1.03</v>
      </c>
      <c r="AQ92" s="74">
        <v>0.16</v>
      </c>
      <c r="AR92" s="74">
        <v>13930.14</v>
      </c>
    </row>
    <row r="93" spans="1:44" ht="12.75">
      <c r="A93" s="6">
        <v>83</v>
      </c>
      <c r="B93" s="80">
        <v>34</v>
      </c>
      <c r="C93" s="81" t="s">
        <v>43</v>
      </c>
      <c r="D93" s="80">
        <v>968.6</v>
      </c>
      <c r="E93" s="85">
        <v>0.0038567003923191123</v>
      </c>
      <c r="F93" s="82">
        <v>17.596143299607682</v>
      </c>
      <c r="G93" s="82">
        <v>17.6</v>
      </c>
      <c r="H93" s="82">
        <v>204523.4928</v>
      </c>
      <c r="I93" s="5">
        <v>1.86</v>
      </c>
      <c r="J93" s="58">
        <v>21619.152000000002</v>
      </c>
      <c r="K93" s="82">
        <v>0.32</v>
      </c>
      <c r="L93" s="58">
        <v>3719.424</v>
      </c>
      <c r="M93" s="43">
        <v>0.06</v>
      </c>
      <c r="N93" s="58">
        <v>697.392</v>
      </c>
      <c r="O93" s="82">
        <v>0.03</v>
      </c>
      <c r="P93" s="58">
        <v>348.696</v>
      </c>
      <c r="Q93" s="12">
        <v>0.93</v>
      </c>
      <c r="R93" s="58">
        <v>10809.576000000001</v>
      </c>
      <c r="S93" s="82">
        <v>0.09</v>
      </c>
      <c r="T93" s="58">
        <v>1046.088</v>
      </c>
      <c r="U93" s="82">
        <v>3.2</v>
      </c>
      <c r="V93" s="58">
        <v>37194.24</v>
      </c>
      <c r="W93" s="85">
        <v>1.3421432996076812</v>
      </c>
      <c r="X93" s="58">
        <v>15600</v>
      </c>
      <c r="Y93" s="58"/>
      <c r="Z93" s="58">
        <v>0</v>
      </c>
      <c r="AA93" s="58"/>
      <c r="AB93" s="58"/>
      <c r="AC93" s="169">
        <v>5.01</v>
      </c>
      <c r="AD93" s="58">
        <v>58232.231999999996</v>
      </c>
      <c r="AE93" s="12">
        <v>0</v>
      </c>
      <c r="AF93" s="12">
        <v>0</v>
      </c>
      <c r="AG93" s="12"/>
      <c r="AH93" s="12">
        <v>0</v>
      </c>
      <c r="AI93" s="82"/>
      <c r="AJ93" s="64">
        <v>0</v>
      </c>
      <c r="AK93" s="85">
        <v>0.902</v>
      </c>
      <c r="AL93" s="66">
        <v>10484.126400000001</v>
      </c>
      <c r="AM93" s="56">
        <v>2.662</v>
      </c>
      <c r="AN93" s="66">
        <v>30940.9584</v>
      </c>
      <c r="AO93" s="17">
        <v>1.19</v>
      </c>
      <c r="AP93" s="74">
        <v>1.03</v>
      </c>
      <c r="AQ93" s="74">
        <v>0.16</v>
      </c>
      <c r="AR93" s="74">
        <v>13831.608</v>
      </c>
    </row>
    <row r="94" spans="1:44" ht="12.75">
      <c r="A94" s="6">
        <v>84</v>
      </c>
      <c r="B94" s="80">
        <v>35</v>
      </c>
      <c r="C94" s="81" t="s">
        <v>44</v>
      </c>
      <c r="D94" s="80">
        <v>1522.9</v>
      </c>
      <c r="E94" s="85">
        <v>-0.0009925799461534268</v>
      </c>
      <c r="F94" s="82">
        <v>17.600992579946155</v>
      </c>
      <c r="G94" s="82">
        <v>17.6</v>
      </c>
      <c r="H94" s="82">
        <v>321654.6192</v>
      </c>
      <c r="I94" s="5">
        <v>1.86</v>
      </c>
      <c r="J94" s="58">
        <v>33991.128000000004</v>
      </c>
      <c r="K94" s="82">
        <v>0.32</v>
      </c>
      <c r="L94" s="58">
        <v>5847.936000000001</v>
      </c>
      <c r="M94" s="43">
        <v>0.06</v>
      </c>
      <c r="N94" s="58">
        <v>1096.4879999999998</v>
      </c>
      <c r="O94" s="82">
        <v>0.03</v>
      </c>
      <c r="P94" s="58">
        <v>548.2439999999999</v>
      </c>
      <c r="Q94" s="12">
        <v>0.93</v>
      </c>
      <c r="R94" s="58">
        <v>16995.564000000002</v>
      </c>
      <c r="S94" s="82">
        <v>0.09</v>
      </c>
      <c r="T94" s="58">
        <v>1644.732</v>
      </c>
      <c r="U94" s="82">
        <v>3.22</v>
      </c>
      <c r="V94" s="58">
        <v>58844.856</v>
      </c>
      <c r="W94" s="85">
        <v>0.19699257994615535</v>
      </c>
      <c r="X94" s="58">
        <v>3600</v>
      </c>
      <c r="Y94" s="58"/>
      <c r="Z94" s="58">
        <v>0</v>
      </c>
      <c r="AA94" s="58"/>
      <c r="AB94" s="58"/>
      <c r="AC94" s="169">
        <v>6.14</v>
      </c>
      <c r="AD94" s="58">
        <v>112207.272</v>
      </c>
      <c r="AE94" s="12">
        <v>0</v>
      </c>
      <c r="AF94" s="12">
        <v>0</v>
      </c>
      <c r="AG94" s="12"/>
      <c r="AH94" s="12">
        <v>0</v>
      </c>
      <c r="AI94" s="82"/>
      <c r="AJ94" s="64">
        <v>0</v>
      </c>
      <c r="AK94" s="85">
        <v>0.902</v>
      </c>
      <c r="AL94" s="66">
        <v>16483.8696</v>
      </c>
      <c r="AM94" s="56">
        <v>2.662</v>
      </c>
      <c r="AN94" s="66">
        <v>48647.5176</v>
      </c>
      <c r="AO94" s="17">
        <v>1.19</v>
      </c>
      <c r="AP94" s="74">
        <v>1.03</v>
      </c>
      <c r="AQ94" s="74">
        <v>0.16</v>
      </c>
      <c r="AR94" s="74">
        <v>21747.012</v>
      </c>
    </row>
    <row r="95" spans="1:44" ht="12.75">
      <c r="A95" s="6">
        <v>85</v>
      </c>
      <c r="B95" s="80">
        <v>36</v>
      </c>
      <c r="C95" s="81" t="s">
        <v>45</v>
      </c>
      <c r="D95" s="80">
        <v>1517.4</v>
      </c>
      <c r="E95" s="85">
        <v>-0.0017066034005566166</v>
      </c>
      <c r="F95" s="82">
        <v>17.601706603400558</v>
      </c>
      <c r="G95" s="82">
        <v>17.6</v>
      </c>
      <c r="H95" s="82">
        <v>320505.9552</v>
      </c>
      <c r="I95" s="5">
        <v>1.86</v>
      </c>
      <c r="J95" s="58">
        <v>33868.368</v>
      </c>
      <c r="K95" s="82">
        <v>0.32</v>
      </c>
      <c r="L95" s="58">
        <v>5826.816000000001</v>
      </c>
      <c r="M95" s="43">
        <v>0.06</v>
      </c>
      <c r="N95" s="58">
        <v>1092.528</v>
      </c>
      <c r="O95" s="82"/>
      <c r="P95" s="58">
        <v>0</v>
      </c>
      <c r="Q95" s="12">
        <v>0.93</v>
      </c>
      <c r="R95" s="58">
        <v>16934.184</v>
      </c>
      <c r="S95" s="82">
        <v>0.09</v>
      </c>
      <c r="T95" s="58">
        <v>1638.792</v>
      </c>
      <c r="U95" s="82">
        <v>3.26</v>
      </c>
      <c r="V95" s="58">
        <v>59360.68800000001</v>
      </c>
      <c r="W95" s="85">
        <v>0.19770660340055357</v>
      </c>
      <c r="X95" s="58">
        <v>3600</v>
      </c>
      <c r="Y95" s="58"/>
      <c r="Z95" s="58">
        <v>0</v>
      </c>
      <c r="AA95" s="58"/>
      <c r="AB95" s="58"/>
      <c r="AC95" s="169">
        <v>6.13</v>
      </c>
      <c r="AD95" s="58">
        <v>111619.944</v>
      </c>
      <c r="AE95" s="12">
        <v>0</v>
      </c>
      <c r="AF95" s="12">
        <v>0</v>
      </c>
      <c r="AG95" s="12"/>
      <c r="AH95" s="12">
        <v>0</v>
      </c>
      <c r="AI95" s="82"/>
      <c r="AJ95" s="64">
        <v>0</v>
      </c>
      <c r="AK95" s="85">
        <v>0.902</v>
      </c>
      <c r="AL95" s="66">
        <v>16424.337600000003</v>
      </c>
      <c r="AM95" s="56">
        <v>2.662</v>
      </c>
      <c r="AN95" s="66">
        <v>48471.8256</v>
      </c>
      <c r="AO95" s="17">
        <v>1.19</v>
      </c>
      <c r="AP95" s="74">
        <v>1.03</v>
      </c>
      <c r="AQ95" s="74">
        <v>0.16</v>
      </c>
      <c r="AR95" s="74">
        <v>21668.472</v>
      </c>
    </row>
    <row r="96" spans="1:44" ht="12.75">
      <c r="A96" s="6">
        <v>86</v>
      </c>
      <c r="B96" s="80">
        <v>37</v>
      </c>
      <c r="C96" s="81" t="s">
        <v>46</v>
      </c>
      <c r="D96" s="80">
        <v>1550.1</v>
      </c>
      <c r="E96" s="85">
        <v>0.002464099090378369</v>
      </c>
      <c r="F96" s="82">
        <v>17.597535900909623</v>
      </c>
      <c r="G96" s="82">
        <v>17.6</v>
      </c>
      <c r="H96" s="82">
        <v>327335.28479999996</v>
      </c>
      <c r="I96" s="5">
        <v>1.86</v>
      </c>
      <c r="J96" s="58">
        <v>34598.232</v>
      </c>
      <c r="K96" s="82">
        <v>0.32</v>
      </c>
      <c r="L96" s="58">
        <v>5952.384</v>
      </c>
      <c r="M96" s="43">
        <v>0.06</v>
      </c>
      <c r="N96" s="58">
        <v>1116.072</v>
      </c>
      <c r="O96" s="82"/>
      <c r="P96" s="58">
        <v>0</v>
      </c>
      <c r="Q96" s="12">
        <v>0.93</v>
      </c>
      <c r="R96" s="58">
        <v>17299.116</v>
      </c>
      <c r="S96" s="82">
        <v>0.09</v>
      </c>
      <c r="T96" s="58">
        <v>1674.1079999999997</v>
      </c>
      <c r="U96" s="82">
        <v>3.8</v>
      </c>
      <c r="V96" s="58">
        <v>70684.56</v>
      </c>
      <c r="W96" s="85">
        <v>0.19353590090961872</v>
      </c>
      <c r="X96" s="58">
        <v>3600</v>
      </c>
      <c r="Y96" s="58"/>
      <c r="Z96" s="58">
        <v>0</v>
      </c>
      <c r="AA96" s="58"/>
      <c r="AB96" s="58"/>
      <c r="AC96" s="169">
        <v>5.59</v>
      </c>
      <c r="AD96" s="58">
        <v>103980.70800000001</v>
      </c>
      <c r="AE96" s="12">
        <v>0</v>
      </c>
      <c r="AF96" s="12">
        <v>0</v>
      </c>
      <c r="AG96" s="12"/>
      <c r="AH96" s="12">
        <v>0</v>
      </c>
      <c r="AI96" s="82"/>
      <c r="AJ96" s="64">
        <v>0</v>
      </c>
      <c r="AK96" s="85">
        <v>0.902</v>
      </c>
      <c r="AL96" s="66">
        <v>16778.2824</v>
      </c>
      <c r="AM96" s="56">
        <v>2.662</v>
      </c>
      <c r="AN96" s="66">
        <v>49516.39439999999</v>
      </c>
      <c r="AO96" s="17">
        <v>1.19</v>
      </c>
      <c r="AP96" s="74">
        <v>1.03</v>
      </c>
      <c r="AQ96" s="74">
        <v>0.16</v>
      </c>
      <c r="AR96" s="74">
        <v>22135.428</v>
      </c>
    </row>
    <row r="97" spans="1:44" ht="12.75">
      <c r="A97" s="6">
        <v>87</v>
      </c>
      <c r="B97" s="80">
        <v>38</v>
      </c>
      <c r="C97" s="81" t="s">
        <v>47</v>
      </c>
      <c r="D97" s="80">
        <v>1526.8</v>
      </c>
      <c r="E97" s="85">
        <v>-0.0004893895729658482</v>
      </c>
      <c r="F97" s="82">
        <v>17.600489389572967</v>
      </c>
      <c r="G97" s="82">
        <v>17.6</v>
      </c>
      <c r="H97" s="82">
        <v>322469.12640000007</v>
      </c>
      <c r="I97" s="5">
        <v>1.86</v>
      </c>
      <c r="J97" s="58">
        <v>34078.176</v>
      </c>
      <c r="K97" s="82">
        <v>0.32</v>
      </c>
      <c r="L97" s="58">
        <v>5862.912</v>
      </c>
      <c r="M97" s="43">
        <v>0.06</v>
      </c>
      <c r="N97" s="58">
        <v>1099.2959999999998</v>
      </c>
      <c r="O97" s="82"/>
      <c r="P97" s="58">
        <v>0</v>
      </c>
      <c r="Q97" s="12">
        <v>0.93</v>
      </c>
      <c r="R97" s="58">
        <v>17039.088</v>
      </c>
      <c r="S97" s="82">
        <v>0.09</v>
      </c>
      <c r="T97" s="58">
        <v>1648.9439999999997</v>
      </c>
      <c r="U97" s="82">
        <v>3.7</v>
      </c>
      <c r="V97" s="58">
        <v>67789.92</v>
      </c>
      <c r="W97" s="85">
        <v>0.19648938957296305</v>
      </c>
      <c r="X97" s="58">
        <v>3600</v>
      </c>
      <c r="Y97" s="58"/>
      <c r="Z97" s="58">
        <v>0</v>
      </c>
      <c r="AA97" s="58"/>
      <c r="AB97" s="58"/>
      <c r="AC97" s="169">
        <v>5.69</v>
      </c>
      <c r="AD97" s="58">
        <v>104249.90400000002</v>
      </c>
      <c r="AE97" s="12">
        <v>0</v>
      </c>
      <c r="AF97" s="12">
        <v>0</v>
      </c>
      <c r="AG97" s="12"/>
      <c r="AH97" s="12">
        <v>0</v>
      </c>
      <c r="AI97" s="82"/>
      <c r="AJ97" s="64">
        <v>0</v>
      </c>
      <c r="AK97" s="85">
        <v>0.902</v>
      </c>
      <c r="AL97" s="66">
        <v>16526.0832</v>
      </c>
      <c r="AM97" s="56">
        <v>2.662</v>
      </c>
      <c r="AN97" s="66">
        <v>48772.0992</v>
      </c>
      <c r="AO97" s="17">
        <v>1.19</v>
      </c>
      <c r="AP97" s="74">
        <v>1.03</v>
      </c>
      <c r="AQ97" s="74">
        <v>0.16</v>
      </c>
      <c r="AR97" s="74">
        <v>21802.703999999998</v>
      </c>
    </row>
    <row r="98" spans="1:44" ht="12.75">
      <c r="A98" s="6">
        <v>88</v>
      </c>
      <c r="B98" s="80">
        <v>39</v>
      </c>
      <c r="C98" s="81" t="s">
        <v>48</v>
      </c>
      <c r="D98" s="168">
        <v>949</v>
      </c>
      <c r="E98" s="85">
        <v>0.0022592202318243437</v>
      </c>
      <c r="F98" s="82">
        <v>18.67774077976818</v>
      </c>
      <c r="G98" s="82">
        <v>18.68</v>
      </c>
      <c r="H98" s="82">
        <v>201427.99200000003</v>
      </c>
      <c r="I98" s="5">
        <v>1.86</v>
      </c>
      <c r="J98" s="58">
        <v>21181.68</v>
      </c>
      <c r="K98" s="82">
        <v>0.32</v>
      </c>
      <c r="L98" s="58">
        <v>3644.16</v>
      </c>
      <c r="M98" s="43">
        <v>0.06</v>
      </c>
      <c r="N98" s="58">
        <v>683.28</v>
      </c>
      <c r="O98" s="82"/>
      <c r="P98" s="58">
        <v>0</v>
      </c>
      <c r="Q98" s="12">
        <v>0.93</v>
      </c>
      <c r="R98" s="58">
        <v>10590.84</v>
      </c>
      <c r="S98" s="82">
        <v>0.09</v>
      </c>
      <c r="T98" s="58">
        <v>1024.92</v>
      </c>
      <c r="U98" s="82">
        <v>3.42</v>
      </c>
      <c r="V98" s="58">
        <v>38946.96</v>
      </c>
      <c r="W98" s="85">
        <v>1.053740779768177</v>
      </c>
      <c r="X98" s="58">
        <v>12000</v>
      </c>
      <c r="Y98" s="58"/>
      <c r="Z98" s="58">
        <v>0</v>
      </c>
      <c r="AA98" s="58"/>
      <c r="AB98" s="58"/>
      <c r="AC98" s="169">
        <v>5.11</v>
      </c>
      <c r="AD98" s="58">
        <v>58192.68</v>
      </c>
      <c r="AE98" s="12">
        <v>0</v>
      </c>
      <c r="AF98" s="12">
        <v>0</v>
      </c>
      <c r="AG98" s="12"/>
      <c r="AH98" s="12">
        <v>0</v>
      </c>
      <c r="AI98" s="82">
        <v>1.08</v>
      </c>
      <c r="AJ98" s="64">
        <v>1024.92</v>
      </c>
      <c r="AK98" s="85">
        <v>0.902</v>
      </c>
      <c r="AL98" s="66">
        <v>10271.976</v>
      </c>
      <c r="AM98" s="56">
        <v>2.662</v>
      </c>
      <c r="AN98" s="66">
        <v>30314.856</v>
      </c>
      <c r="AO98" s="17">
        <v>1.19</v>
      </c>
      <c r="AP98" s="74">
        <v>1.03</v>
      </c>
      <c r="AQ98" s="74">
        <v>0.16</v>
      </c>
      <c r="AR98" s="74">
        <v>13551.72</v>
      </c>
    </row>
    <row r="99" spans="1:44" ht="12.75">
      <c r="A99" s="6">
        <v>89</v>
      </c>
      <c r="B99" s="80">
        <v>40</v>
      </c>
      <c r="C99" s="81" t="s">
        <v>49</v>
      </c>
      <c r="D99" s="80">
        <v>1319.5</v>
      </c>
      <c r="E99" s="85">
        <v>-0.0013588480485040577</v>
      </c>
      <c r="F99" s="82">
        <v>17.601358848048505</v>
      </c>
      <c r="G99" s="82">
        <v>17.6</v>
      </c>
      <c r="H99" s="82">
        <v>278699.916</v>
      </c>
      <c r="I99" s="5">
        <v>1.86</v>
      </c>
      <c r="J99" s="58">
        <v>29451.24</v>
      </c>
      <c r="K99" s="82">
        <v>0.32</v>
      </c>
      <c r="L99" s="58">
        <v>5066.88</v>
      </c>
      <c r="M99" s="43">
        <v>0.06</v>
      </c>
      <c r="N99" s="58">
        <v>950.04</v>
      </c>
      <c r="O99" s="82"/>
      <c r="P99" s="58">
        <v>0</v>
      </c>
      <c r="Q99" s="12">
        <v>0.93</v>
      </c>
      <c r="R99" s="58">
        <v>14725.62</v>
      </c>
      <c r="S99" s="82">
        <v>0.09</v>
      </c>
      <c r="T99" s="58">
        <v>1425.06</v>
      </c>
      <c r="U99" s="82">
        <v>3.2</v>
      </c>
      <c r="V99" s="58">
        <v>50668.8</v>
      </c>
      <c r="W99" s="85">
        <v>0.22735884804850323</v>
      </c>
      <c r="X99" s="58">
        <v>3600</v>
      </c>
      <c r="Y99" s="58"/>
      <c r="Z99" s="58">
        <v>0</v>
      </c>
      <c r="AA99" s="58"/>
      <c r="AB99" s="58"/>
      <c r="AC99" s="169">
        <v>6.16</v>
      </c>
      <c r="AD99" s="58">
        <v>97537.44</v>
      </c>
      <c r="AE99" s="12">
        <v>0</v>
      </c>
      <c r="AF99" s="12">
        <v>0</v>
      </c>
      <c r="AG99" s="12"/>
      <c r="AH99" s="12">
        <v>0</v>
      </c>
      <c r="AI99" s="82"/>
      <c r="AJ99" s="64">
        <v>0</v>
      </c>
      <c r="AK99" s="85">
        <v>0.902</v>
      </c>
      <c r="AL99" s="66">
        <v>14282.268</v>
      </c>
      <c r="AM99" s="56">
        <v>2.662</v>
      </c>
      <c r="AN99" s="66">
        <v>42150.108</v>
      </c>
      <c r="AO99" s="17">
        <v>1.19</v>
      </c>
      <c r="AP99" s="74">
        <v>1.03</v>
      </c>
      <c r="AQ99" s="74">
        <v>0.16</v>
      </c>
      <c r="AR99" s="74">
        <v>18842.46</v>
      </c>
    </row>
    <row r="100" spans="1:44" ht="12.75">
      <c r="A100" s="6">
        <v>90</v>
      </c>
      <c r="B100" s="80">
        <v>41</v>
      </c>
      <c r="C100" s="81" t="s">
        <v>50</v>
      </c>
      <c r="D100" s="80">
        <v>1280.6</v>
      </c>
      <c r="E100" s="85">
        <v>0.0017348118069655527</v>
      </c>
      <c r="F100" s="82">
        <v>17.598265188193036</v>
      </c>
      <c r="G100" s="82">
        <v>17.6</v>
      </c>
      <c r="H100" s="82">
        <v>270436.0608</v>
      </c>
      <c r="I100" s="5">
        <v>1.86</v>
      </c>
      <c r="J100" s="58">
        <v>28582.992000000002</v>
      </c>
      <c r="K100" s="82">
        <v>0.32</v>
      </c>
      <c r="L100" s="58">
        <v>4917.504</v>
      </c>
      <c r="M100" s="43">
        <v>0.06</v>
      </c>
      <c r="N100" s="58">
        <v>922.0319999999999</v>
      </c>
      <c r="O100" s="82"/>
      <c r="P100" s="58">
        <v>0</v>
      </c>
      <c r="Q100" s="12">
        <v>0.93</v>
      </c>
      <c r="R100" s="58">
        <v>14291.496000000001</v>
      </c>
      <c r="S100" s="82">
        <v>0.09</v>
      </c>
      <c r="T100" s="58">
        <v>1383.0479999999998</v>
      </c>
      <c r="U100" s="82">
        <v>3.6</v>
      </c>
      <c r="V100" s="58">
        <v>55321.92</v>
      </c>
      <c r="W100" s="85">
        <v>0.23426518819303455</v>
      </c>
      <c r="X100" s="58">
        <v>3600</v>
      </c>
      <c r="Y100" s="58"/>
      <c r="Z100" s="58">
        <v>0</v>
      </c>
      <c r="AA100" s="58"/>
      <c r="AB100" s="58"/>
      <c r="AC100" s="169">
        <v>5.75</v>
      </c>
      <c r="AD100" s="58">
        <v>88361.4</v>
      </c>
      <c r="AE100" s="12">
        <v>0</v>
      </c>
      <c r="AF100" s="12">
        <v>0</v>
      </c>
      <c r="AG100" s="12"/>
      <c r="AH100" s="12">
        <v>0</v>
      </c>
      <c r="AI100" s="82"/>
      <c r="AJ100" s="64">
        <v>0</v>
      </c>
      <c r="AK100" s="85">
        <v>0.902</v>
      </c>
      <c r="AL100" s="66">
        <v>13861.214399999997</v>
      </c>
      <c r="AM100" s="56">
        <v>2.662</v>
      </c>
      <c r="AN100" s="66">
        <v>40907.486399999994</v>
      </c>
      <c r="AO100" s="17">
        <v>1.19</v>
      </c>
      <c r="AP100" s="74">
        <v>1.03</v>
      </c>
      <c r="AQ100" s="74">
        <v>0.16</v>
      </c>
      <c r="AR100" s="74">
        <v>18286.967999999997</v>
      </c>
    </row>
    <row r="101" spans="1:44" ht="12.75">
      <c r="A101" s="6">
        <v>91</v>
      </c>
      <c r="B101" s="80">
        <v>42</v>
      </c>
      <c r="C101" s="81" t="s">
        <v>51</v>
      </c>
      <c r="D101" s="80">
        <v>1270.8</v>
      </c>
      <c r="E101" s="85">
        <v>0.003022348127164065</v>
      </c>
      <c r="F101" s="82">
        <v>17.596977651872837</v>
      </c>
      <c r="G101" s="82">
        <v>17.6</v>
      </c>
      <c r="H101" s="82">
        <v>268346.8704</v>
      </c>
      <c r="I101" s="5">
        <v>1.86</v>
      </c>
      <c r="J101" s="58">
        <v>28364.256</v>
      </c>
      <c r="K101" s="82">
        <v>0.32</v>
      </c>
      <c r="L101" s="58">
        <v>4879.872</v>
      </c>
      <c r="M101" s="43">
        <v>0.06</v>
      </c>
      <c r="N101" s="58">
        <v>914.9759999999999</v>
      </c>
      <c r="O101" s="82"/>
      <c r="P101" s="58">
        <v>0</v>
      </c>
      <c r="Q101" s="12">
        <v>0.93</v>
      </c>
      <c r="R101" s="58">
        <v>14182.128</v>
      </c>
      <c r="S101" s="82">
        <v>0.09</v>
      </c>
      <c r="T101" s="58">
        <v>1372.464</v>
      </c>
      <c r="U101" s="82">
        <v>3.6</v>
      </c>
      <c r="V101" s="58">
        <v>54898.56</v>
      </c>
      <c r="W101" s="85">
        <v>1.022977651872836</v>
      </c>
      <c r="X101" s="58">
        <v>15600</v>
      </c>
      <c r="Y101" s="58"/>
      <c r="Z101" s="58">
        <v>0</v>
      </c>
      <c r="AA101" s="58"/>
      <c r="AB101" s="58"/>
      <c r="AC101" s="169">
        <v>4.96</v>
      </c>
      <c r="AD101" s="58">
        <v>75638.01599999999</v>
      </c>
      <c r="AE101" s="12">
        <v>0</v>
      </c>
      <c r="AF101" s="12">
        <v>0</v>
      </c>
      <c r="AG101" s="12"/>
      <c r="AH101" s="12">
        <v>0</v>
      </c>
      <c r="AI101" s="82"/>
      <c r="AJ101" s="64">
        <v>0</v>
      </c>
      <c r="AK101" s="85">
        <v>0.902</v>
      </c>
      <c r="AL101" s="66">
        <v>13755.139200000001</v>
      </c>
      <c r="AM101" s="56">
        <v>2.662</v>
      </c>
      <c r="AN101" s="66">
        <v>40594.4352</v>
      </c>
      <c r="AO101" s="17">
        <v>1.19</v>
      </c>
      <c r="AP101" s="74">
        <v>1.03</v>
      </c>
      <c r="AQ101" s="74">
        <v>0.16</v>
      </c>
      <c r="AR101" s="74">
        <v>18147.023999999998</v>
      </c>
    </row>
    <row r="102" spans="1:44" ht="12.75">
      <c r="A102" s="6">
        <v>92</v>
      </c>
      <c r="B102" s="80">
        <v>43</v>
      </c>
      <c r="C102" s="81" t="s">
        <v>102</v>
      </c>
      <c r="D102" s="80">
        <v>963.8</v>
      </c>
      <c r="E102" s="85">
        <v>-0.004000000000001336</v>
      </c>
      <c r="F102" s="82">
        <v>17.604000000000003</v>
      </c>
      <c r="G102" s="82">
        <v>17.6</v>
      </c>
      <c r="H102" s="82">
        <v>203600.8224</v>
      </c>
      <c r="I102" s="5">
        <v>1.86</v>
      </c>
      <c r="J102" s="58">
        <v>21512.016000000003</v>
      </c>
      <c r="K102" s="82">
        <v>0.32</v>
      </c>
      <c r="L102" s="58">
        <v>3700.992</v>
      </c>
      <c r="M102" s="43">
        <v>0.06</v>
      </c>
      <c r="N102" s="58">
        <v>693.9359999999999</v>
      </c>
      <c r="O102" s="82">
        <v>0.03</v>
      </c>
      <c r="P102" s="58">
        <v>346.96799999999996</v>
      </c>
      <c r="Q102" s="12">
        <v>0.93</v>
      </c>
      <c r="R102" s="58">
        <v>10756.008000000002</v>
      </c>
      <c r="S102" s="82">
        <v>0.09</v>
      </c>
      <c r="T102" s="58">
        <v>1040.904</v>
      </c>
      <c r="U102" s="82">
        <v>4.01</v>
      </c>
      <c r="V102" s="58">
        <v>46378.05600000001</v>
      </c>
      <c r="W102" s="80"/>
      <c r="X102" s="58"/>
      <c r="Y102" s="58"/>
      <c r="Z102" s="58">
        <v>0</v>
      </c>
      <c r="AA102" s="58"/>
      <c r="AB102" s="58"/>
      <c r="AC102" s="169">
        <v>5.55</v>
      </c>
      <c r="AD102" s="58">
        <v>64189.08</v>
      </c>
      <c r="AE102" s="12">
        <v>0</v>
      </c>
      <c r="AF102" s="12">
        <v>0</v>
      </c>
      <c r="AG102" s="12"/>
      <c r="AH102" s="12">
        <v>0</v>
      </c>
      <c r="AI102" s="82"/>
      <c r="AJ102" s="64">
        <v>0</v>
      </c>
      <c r="AK102" s="85">
        <v>0.902</v>
      </c>
      <c r="AL102" s="66">
        <v>10432.171199999999</v>
      </c>
      <c r="AM102" s="56">
        <v>2.662</v>
      </c>
      <c r="AN102" s="66">
        <v>30787.627199999995</v>
      </c>
      <c r="AO102" s="17">
        <v>1.19</v>
      </c>
      <c r="AP102" s="74">
        <v>1.03</v>
      </c>
      <c r="AQ102" s="74">
        <v>0.16</v>
      </c>
      <c r="AR102" s="74">
        <v>13763.063999999998</v>
      </c>
    </row>
    <row r="103" spans="1:44" ht="12.75">
      <c r="A103" s="6">
        <v>93</v>
      </c>
      <c r="B103" s="80">
        <v>44</v>
      </c>
      <c r="C103" s="81" t="s">
        <v>103</v>
      </c>
      <c r="D103" s="80">
        <v>1506.2</v>
      </c>
      <c r="E103" s="85">
        <v>-0.004000000000001336</v>
      </c>
      <c r="F103" s="82">
        <v>17.604000000000003</v>
      </c>
      <c r="G103" s="82">
        <v>17.6</v>
      </c>
      <c r="H103" s="82">
        <v>318181.73760000005</v>
      </c>
      <c r="I103" s="5">
        <v>1.86</v>
      </c>
      <c r="J103" s="58">
        <v>33618.384000000005</v>
      </c>
      <c r="K103" s="82">
        <v>0.32</v>
      </c>
      <c r="L103" s="58">
        <v>5783.808000000001</v>
      </c>
      <c r="M103" s="43">
        <v>0.06</v>
      </c>
      <c r="N103" s="58">
        <v>1084.464</v>
      </c>
      <c r="O103" s="82">
        <v>0.03</v>
      </c>
      <c r="P103" s="58">
        <v>542.232</v>
      </c>
      <c r="Q103" s="12">
        <v>0.93</v>
      </c>
      <c r="R103" s="58">
        <v>16809.192000000003</v>
      </c>
      <c r="S103" s="82">
        <v>0.09</v>
      </c>
      <c r="T103" s="58">
        <v>1626.696</v>
      </c>
      <c r="U103" s="82">
        <v>4.01</v>
      </c>
      <c r="V103" s="58">
        <v>72478.34400000001</v>
      </c>
      <c r="W103" s="80"/>
      <c r="X103" s="58"/>
      <c r="Y103" s="58"/>
      <c r="Z103" s="58">
        <v>0</v>
      </c>
      <c r="AA103" s="58"/>
      <c r="AB103" s="58"/>
      <c r="AC103" s="169">
        <v>5.55</v>
      </c>
      <c r="AD103" s="58">
        <v>100312.92</v>
      </c>
      <c r="AE103" s="12">
        <v>0</v>
      </c>
      <c r="AF103" s="12">
        <v>0</v>
      </c>
      <c r="AG103" s="12"/>
      <c r="AH103" s="12">
        <v>0</v>
      </c>
      <c r="AI103" s="82"/>
      <c r="AJ103" s="64">
        <v>0</v>
      </c>
      <c r="AK103" s="85">
        <v>0.902</v>
      </c>
      <c r="AL103" s="66">
        <v>16303.1088</v>
      </c>
      <c r="AM103" s="56">
        <v>2.662</v>
      </c>
      <c r="AN103" s="66">
        <v>48114.0528</v>
      </c>
      <c r="AO103" s="17">
        <v>1.19</v>
      </c>
      <c r="AP103" s="74">
        <v>1.03</v>
      </c>
      <c r="AQ103" s="74">
        <v>0.16</v>
      </c>
      <c r="AR103" s="74">
        <v>21508.536</v>
      </c>
    </row>
    <row r="104" spans="1:44" ht="12.75">
      <c r="A104" s="6">
        <v>94</v>
      </c>
      <c r="B104" s="80">
        <v>45</v>
      </c>
      <c r="C104" s="81" t="s">
        <v>104</v>
      </c>
      <c r="D104" s="80">
        <v>955.8</v>
      </c>
      <c r="E104" s="85">
        <v>0.002126804770870905</v>
      </c>
      <c r="F104" s="82">
        <v>19.38787319522913</v>
      </c>
      <c r="G104" s="82">
        <v>19.39</v>
      </c>
      <c r="H104" s="82">
        <v>203551.4484</v>
      </c>
      <c r="I104" s="5">
        <v>1.86</v>
      </c>
      <c r="J104" s="58">
        <v>21333.456</v>
      </c>
      <c r="K104" s="82">
        <v>0.32</v>
      </c>
      <c r="L104" s="58">
        <v>3670.272</v>
      </c>
      <c r="M104" s="43">
        <v>0.06</v>
      </c>
      <c r="N104" s="58">
        <v>688.1759999999999</v>
      </c>
      <c r="O104" s="82">
        <v>0.03</v>
      </c>
      <c r="P104" s="58">
        <v>344.08799999999997</v>
      </c>
      <c r="Q104" s="12">
        <v>0.93</v>
      </c>
      <c r="R104" s="58">
        <v>10666.728</v>
      </c>
      <c r="S104" s="82">
        <v>0.09</v>
      </c>
      <c r="T104" s="58">
        <v>1032.264</v>
      </c>
      <c r="U104" s="82">
        <v>3.81</v>
      </c>
      <c r="V104" s="58">
        <v>43699.17600000001</v>
      </c>
      <c r="W104" s="85">
        <v>0.31387319522912743</v>
      </c>
      <c r="X104" s="58">
        <v>3600</v>
      </c>
      <c r="Y104" s="58"/>
      <c r="Z104" s="58">
        <v>0</v>
      </c>
      <c r="AA104" s="58"/>
      <c r="AB104" s="58"/>
      <c r="AC104" s="169">
        <v>5.43</v>
      </c>
      <c r="AD104" s="58">
        <v>62279.928</v>
      </c>
      <c r="AE104" s="12">
        <v>0</v>
      </c>
      <c r="AF104" s="12">
        <v>0</v>
      </c>
      <c r="AG104" s="12"/>
      <c r="AH104" s="12">
        <v>0</v>
      </c>
      <c r="AI104" s="82">
        <v>1.79</v>
      </c>
      <c r="AJ104" s="64">
        <v>1710.882</v>
      </c>
      <c r="AK104" s="85">
        <v>0.902</v>
      </c>
      <c r="AL104" s="66">
        <v>10345.5792</v>
      </c>
      <c r="AM104" s="56">
        <v>2.662</v>
      </c>
      <c r="AN104" s="66">
        <v>30532.0752</v>
      </c>
      <c r="AO104" s="17">
        <v>1.19</v>
      </c>
      <c r="AP104" s="74">
        <v>1.03</v>
      </c>
      <c r="AQ104" s="74">
        <v>0.16</v>
      </c>
      <c r="AR104" s="74">
        <v>13648.823999999997</v>
      </c>
    </row>
    <row r="105" spans="1:44" ht="12.75">
      <c r="A105" s="6">
        <v>95</v>
      </c>
      <c r="B105" s="80">
        <v>46</v>
      </c>
      <c r="C105" s="81" t="s">
        <v>105</v>
      </c>
      <c r="D105" s="80">
        <v>978.5</v>
      </c>
      <c r="E105" s="85">
        <v>-0.000591722023507657</v>
      </c>
      <c r="F105" s="82">
        <v>17.60059172202351</v>
      </c>
      <c r="G105" s="82">
        <v>17.6</v>
      </c>
      <c r="H105" s="82">
        <v>206666.148</v>
      </c>
      <c r="I105" s="5">
        <v>1.86</v>
      </c>
      <c r="J105" s="58">
        <v>21840.12</v>
      </c>
      <c r="K105" s="82">
        <v>0.32</v>
      </c>
      <c r="L105" s="58">
        <v>3757.44</v>
      </c>
      <c r="M105" s="43">
        <v>0.06</v>
      </c>
      <c r="N105" s="58">
        <v>704.52</v>
      </c>
      <c r="O105" s="82">
        <v>0.03</v>
      </c>
      <c r="P105" s="58">
        <v>352.26</v>
      </c>
      <c r="Q105" s="12">
        <v>0.93</v>
      </c>
      <c r="R105" s="58">
        <v>10920.06</v>
      </c>
      <c r="S105" s="82">
        <v>0.09</v>
      </c>
      <c r="T105" s="58">
        <v>1056.78</v>
      </c>
      <c r="U105" s="82">
        <v>3.81</v>
      </c>
      <c r="V105" s="58">
        <v>44737.02</v>
      </c>
      <c r="W105" s="85">
        <v>0.3065917220235054</v>
      </c>
      <c r="X105" s="58">
        <v>3600</v>
      </c>
      <c r="Y105" s="58"/>
      <c r="Z105" s="58">
        <v>0</v>
      </c>
      <c r="AA105" s="58"/>
      <c r="AB105" s="58"/>
      <c r="AC105" s="169">
        <v>5.44</v>
      </c>
      <c r="AD105" s="58">
        <v>63876.48</v>
      </c>
      <c r="AE105" s="12">
        <v>0</v>
      </c>
      <c r="AF105" s="12">
        <v>0</v>
      </c>
      <c r="AG105" s="12"/>
      <c r="AH105" s="12">
        <v>0</v>
      </c>
      <c r="AI105" s="82"/>
      <c r="AJ105" s="64">
        <v>0</v>
      </c>
      <c r="AK105" s="85">
        <v>0.902</v>
      </c>
      <c r="AL105" s="66">
        <v>10591.284</v>
      </c>
      <c r="AM105" s="56">
        <v>2.662</v>
      </c>
      <c r="AN105" s="66">
        <v>31257.203999999998</v>
      </c>
      <c r="AO105" s="17">
        <v>1.19</v>
      </c>
      <c r="AP105" s="74">
        <v>1.03</v>
      </c>
      <c r="AQ105" s="74">
        <v>0.16</v>
      </c>
      <c r="AR105" s="74">
        <v>13972.98</v>
      </c>
    </row>
    <row r="106" spans="1:44" ht="12.75">
      <c r="A106" s="6">
        <v>96</v>
      </c>
      <c r="B106" s="80">
        <v>47</v>
      </c>
      <c r="C106" s="81" t="s">
        <v>106</v>
      </c>
      <c r="D106" s="168">
        <v>1251</v>
      </c>
      <c r="E106" s="85">
        <v>-0.0038081534772196335</v>
      </c>
      <c r="F106" s="82">
        <v>17.60380815347722</v>
      </c>
      <c r="G106" s="82">
        <v>17.6</v>
      </c>
      <c r="H106" s="82">
        <v>264268.368</v>
      </c>
      <c r="I106" s="5">
        <v>1.86</v>
      </c>
      <c r="J106" s="58">
        <v>27922.32</v>
      </c>
      <c r="K106" s="82">
        <v>0.32</v>
      </c>
      <c r="L106" s="58">
        <v>4803.84</v>
      </c>
      <c r="M106" s="43">
        <v>0.06</v>
      </c>
      <c r="N106" s="58">
        <v>900.72</v>
      </c>
      <c r="O106" s="82">
        <v>0.03</v>
      </c>
      <c r="P106" s="58">
        <v>450.36</v>
      </c>
      <c r="Q106" s="12">
        <v>0.93</v>
      </c>
      <c r="R106" s="58">
        <v>13961.16</v>
      </c>
      <c r="S106" s="82">
        <v>0.09</v>
      </c>
      <c r="T106" s="58">
        <v>1351.08</v>
      </c>
      <c r="U106" s="82">
        <v>4.01</v>
      </c>
      <c r="V106" s="58">
        <v>60198.12</v>
      </c>
      <c r="W106" s="85">
        <v>0.2398081534772182</v>
      </c>
      <c r="X106" s="58">
        <v>3600</v>
      </c>
      <c r="Y106" s="58"/>
      <c r="Z106" s="58">
        <v>0</v>
      </c>
      <c r="AA106" s="58"/>
      <c r="AB106" s="58"/>
      <c r="AC106" s="169">
        <v>5.31</v>
      </c>
      <c r="AD106" s="58">
        <v>79713.72</v>
      </c>
      <c r="AE106" s="12">
        <v>0</v>
      </c>
      <c r="AF106" s="12">
        <v>0</v>
      </c>
      <c r="AG106" s="12"/>
      <c r="AH106" s="12">
        <v>0</v>
      </c>
      <c r="AI106" s="82"/>
      <c r="AJ106" s="64">
        <v>0</v>
      </c>
      <c r="AK106" s="85">
        <v>0.902</v>
      </c>
      <c r="AL106" s="66">
        <v>13540.824</v>
      </c>
      <c r="AM106" s="56">
        <v>2.662</v>
      </c>
      <c r="AN106" s="66">
        <v>39961.943999999996</v>
      </c>
      <c r="AO106" s="17">
        <v>1.19</v>
      </c>
      <c r="AP106" s="74">
        <v>1.03</v>
      </c>
      <c r="AQ106" s="74">
        <v>0.16</v>
      </c>
      <c r="AR106" s="74">
        <v>17864.28</v>
      </c>
    </row>
    <row r="107" spans="1:44" ht="12.75">
      <c r="A107" s="6">
        <v>97</v>
      </c>
      <c r="B107" s="80">
        <v>48</v>
      </c>
      <c r="C107" s="81" t="s">
        <v>107</v>
      </c>
      <c r="D107" s="168">
        <v>2567</v>
      </c>
      <c r="E107" s="85">
        <v>-0.0004277366575742292</v>
      </c>
      <c r="F107" s="82">
        <v>17.600427736657576</v>
      </c>
      <c r="G107" s="82">
        <v>17.6</v>
      </c>
      <c r="H107" s="82">
        <v>542163.576</v>
      </c>
      <c r="I107" s="5">
        <v>1.86</v>
      </c>
      <c r="J107" s="58">
        <v>57295.44</v>
      </c>
      <c r="K107" s="82">
        <v>0.32</v>
      </c>
      <c r="L107" s="58">
        <v>9857.28</v>
      </c>
      <c r="M107" s="43">
        <v>0.06</v>
      </c>
      <c r="N107" s="58">
        <v>1848.24</v>
      </c>
      <c r="O107" s="82">
        <v>0.03</v>
      </c>
      <c r="P107" s="58">
        <v>924.12</v>
      </c>
      <c r="Q107" s="12">
        <v>0.93</v>
      </c>
      <c r="R107" s="58">
        <v>28647.72</v>
      </c>
      <c r="S107" s="82">
        <v>0.09</v>
      </c>
      <c r="T107" s="58">
        <v>2772.36</v>
      </c>
      <c r="U107" s="82">
        <v>4.01</v>
      </c>
      <c r="V107" s="58">
        <v>123524.04</v>
      </c>
      <c r="W107" s="85">
        <v>0.506427736657577</v>
      </c>
      <c r="X107" s="58">
        <v>15600</v>
      </c>
      <c r="Y107" s="58"/>
      <c r="Z107" s="58">
        <v>0</v>
      </c>
      <c r="AA107" s="58"/>
      <c r="AB107" s="58"/>
      <c r="AC107" s="169">
        <v>5.04</v>
      </c>
      <c r="AD107" s="58">
        <v>155252.16</v>
      </c>
      <c r="AE107" s="12">
        <v>0</v>
      </c>
      <c r="AF107" s="12">
        <v>0</v>
      </c>
      <c r="AG107" s="12"/>
      <c r="AH107" s="12">
        <v>0</v>
      </c>
      <c r="AI107" s="82"/>
      <c r="AJ107" s="64">
        <v>0</v>
      </c>
      <c r="AK107" s="85">
        <v>0.902</v>
      </c>
      <c r="AL107" s="66">
        <v>27785.208000000002</v>
      </c>
      <c r="AM107" s="56">
        <v>2.662</v>
      </c>
      <c r="AN107" s="66">
        <v>82000.24799999999</v>
      </c>
      <c r="AO107" s="17">
        <v>1.19</v>
      </c>
      <c r="AP107" s="74">
        <v>1.03</v>
      </c>
      <c r="AQ107" s="74">
        <v>0.16</v>
      </c>
      <c r="AR107" s="74">
        <v>36656.76</v>
      </c>
    </row>
    <row r="108" spans="1:44" ht="12.75">
      <c r="A108" s="6">
        <v>98</v>
      </c>
      <c r="B108" s="80">
        <v>49</v>
      </c>
      <c r="C108" s="81" t="s">
        <v>108</v>
      </c>
      <c r="D108" s="80">
        <v>2489.2</v>
      </c>
      <c r="E108" s="85">
        <v>0.0028761047726177935</v>
      </c>
      <c r="F108" s="82">
        <v>17.597123895227384</v>
      </c>
      <c r="G108" s="82">
        <v>17.6</v>
      </c>
      <c r="H108" s="82">
        <v>525633.1296</v>
      </c>
      <c r="I108" s="5">
        <v>1.86</v>
      </c>
      <c r="J108" s="58">
        <v>55558.944</v>
      </c>
      <c r="K108" s="82">
        <v>0.32</v>
      </c>
      <c r="L108" s="58">
        <v>9558.528</v>
      </c>
      <c r="M108" s="43">
        <v>0.06</v>
      </c>
      <c r="N108" s="58">
        <v>1792.2239999999997</v>
      </c>
      <c r="O108" s="82">
        <v>0.03</v>
      </c>
      <c r="P108" s="58">
        <v>896.1119999999999</v>
      </c>
      <c r="Q108" s="12">
        <v>0.93</v>
      </c>
      <c r="R108" s="58">
        <v>27779.472</v>
      </c>
      <c r="S108" s="82">
        <v>0.09</v>
      </c>
      <c r="T108" s="58">
        <v>2688.3359999999993</v>
      </c>
      <c r="U108" s="82">
        <v>4.01</v>
      </c>
      <c r="V108" s="58">
        <v>119780.304</v>
      </c>
      <c r="W108" s="85">
        <v>0.7231238952273823</v>
      </c>
      <c r="X108" s="58">
        <v>21600</v>
      </c>
      <c r="Y108" s="58"/>
      <c r="Z108" s="58">
        <v>0</v>
      </c>
      <c r="AA108" s="58"/>
      <c r="AB108" s="58"/>
      <c r="AC108" s="169">
        <v>4.82</v>
      </c>
      <c r="AD108" s="58">
        <v>143975.32799999998</v>
      </c>
      <c r="AE108" s="12">
        <v>0</v>
      </c>
      <c r="AF108" s="12">
        <v>0</v>
      </c>
      <c r="AG108" s="12"/>
      <c r="AH108" s="12">
        <v>0</v>
      </c>
      <c r="AI108" s="82"/>
      <c r="AJ108" s="64">
        <v>0</v>
      </c>
      <c r="AK108" s="85">
        <v>0.902</v>
      </c>
      <c r="AL108" s="66">
        <v>26943.100799999997</v>
      </c>
      <c r="AM108" s="56">
        <v>2.662</v>
      </c>
      <c r="AN108" s="66">
        <v>79515.0048</v>
      </c>
      <c r="AO108" s="17">
        <v>1.19</v>
      </c>
      <c r="AP108" s="74">
        <v>1.03</v>
      </c>
      <c r="AQ108" s="74">
        <v>0.16</v>
      </c>
      <c r="AR108" s="74">
        <v>35545.776</v>
      </c>
    </row>
    <row r="109" spans="1:44" ht="12.75">
      <c r="A109" s="6">
        <v>99</v>
      </c>
      <c r="B109" s="80">
        <v>50</v>
      </c>
      <c r="C109" s="81" t="s">
        <v>207</v>
      </c>
      <c r="D109" s="80">
        <v>1739.6</v>
      </c>
      <c r="E109" s="85">
        <v>-0.004000000000001336</v>
      </c>
      <c r="F109" s="82">
        <v>17.604000000000003</v>
      </c>
      <c r="G109" s="82">
        <v>17.6</v>
      </c>
      <c r="H109" s="82">
        <v>367487.02079999994</v>
      </c>
      <c r="I109" s="5">
        <v>1.86</v>
      </c>
      <c r="J109" s="58">
        <v>38827.872</v>
      </c>
      <c r="K109" s="82">
        <v>0.32</v>
      </c>
      <c r="L109" s="58">
        <v>6680.064</v>
      </c>
      <c r="M109" s="43">
        <v>0.06</v>
      </c>
      <c r="N109" s="58">
        <v>1252.512</v>
      </c>
      <c r="O109" s="82">
        <v>0.01</v>
      </c>
      <c r="P109" s="58">
        <v>208.752</v>
      </c>
      <c r="Q109" s="12">
        <v>0.93</v>
      </c>
      <c r="R109" s="58">
        <v>19413.936</v>
      </c>
      <c r="S109" s="82">
        <v>0.09</v>
      </c>
      <c r="T109" s="58">
        <v>1878.768</v>
      </c>
      <c r="U109" s="82">
        <v>4.03</v>
      </c>
      <c r="V109" s="58">
        <v>84127.056</v>
      </c>
      <c r="W109" s="38"/>
      <c r="X109" s="58"/>
      <c r="Y109" s="82"/>
      <c r="Z109" s="58">
        <v>0</v>
      </c>
      <c r="AA109" s="58"/>
      <c r="AB109" s="58"/>
      <c r="AC109" s="169">
        <v>5.55</v>
      </c>
      <c r="AD109" s="58">
        <v>115857.36</v>
      </c>
      <c r="AE109" s="12">
        <v>0</v>
      </c>
      <c r="AF109" s="12">
        <v>0</v>
      </c>
      <c r="AG109" s="12"/>
      <c r="AH109" s="12">
        <v>0</v>
      </c>
      <c r="AI109" s="82"/>
      <c r="AJ109" s="64">
        <v>0</v>
      </c>
      <c r="AK109" s="85">
        <v>0.902</v>
      </c>
      <c r="AL109" s="66">
        <v>18829.430399999997</v>
      </c>
      <c r="AM109" s="56">
        <v>2.662</v>
      </c>
      <c r="AN109" s="66">
        <v>55569.7824</v>
      </c>
      <c r="AO109" s="17">
        <v>1.19</v>
      </c>
      <c r="AP109" s="74">
        <v>1.03</v>
      </c>
      <c r="AQ109" s="74">
        <v>0.16</v>
      </c>
      <c r="AR109" s="74">
        <v>24841.487999999998</v>
      </c>
    </row>
    <row r="110" spans="1:44" ht="12.75">
      <c r="A110" s="6">
        <v>100</v>
      </c>
      <c r="B110" s="80">
        <v>51</v>
      </c>
      <c r="C110" s="81" t="s">
        <v>52</v>
      </c>
      <c r="D110" s="80">
        <v>4502.7</v>
      </c>
      <c r="E110" s="85">
        <v>-0.002715659493194522</v>
      </c>
      <c r="F110" s="82">
        <v>17.602715659493196</v>
      </c>
      <c r="G110" s="82">
        <v>17.6</v>
      </c>
      <c r="H110" s="82">
        <v>951116.9736</v>
      </c>
      <c r="I110" s="5">
        <v>1.86</v>
      </c>
      <c r="J110" s="58">
        <v>100500.26400000001</v>
      </c>
      <c r="K110" s="82">
        <v>0.32</v>
      </c>
      <c r="L110" s="58">
        <v>17290.368000000002</v>
      </c>
      <c r="M110" s="43">
        <v>0.06</v>
      </c>
      <c r="N110" s="58">
        <v>3241.9439999999995</v>
      </c>
      <c r="O110" s="82">
        <v>0.03</v>
      </c>
      <c r="P110" s="58">
        <v>1620.9719999999998</v>
      </c>
      <c r="Q110" s="12">
        <v>0.93</v>
      </c>
      <c r="R110" s="58">
        <v>50250.132000000005</v>
      </c>
      <c r="S110" s="82">
        <v>0.09</v>
      </c>
      <c r="T110" s="58">
        <v>4862.916</v>
      </c>
      <c r="U110" s="82">
        <v>3.1</v>
      </c>
      <c r="V110" s="58">
        <v>167500.44</v>
      </c>
      <c r="W110" s="85">
        <v>0.288715659493193</v>
      </c>
      <c r="X110" s="58">
        <v>15600</v>
      </c>
      <c r="Y110" s="58"/>
      <c r="Z110" s="58">
        <v>0</v>
      </c>
      <c r="AA110" s="58"/>
      <c r="AB110" s="58"/>
      <c r="AC110" s="169">
        <v>6.17</v>
      </c>
      <c r="AD110" s="58">
        <v>333379.908</v>
      </c>
      <c r="AE110" s="12">
        <v>0</v>
      </c>
      <c r="AF110" s="12">
        <v>0</v>
      </c>
      <c r="AG110" s="12"/>
      <c r="AH110" s="12">
        <v>0</v>
      </c>
      <c r="AI110" s="82"/>
      <c r="AJ110" s="64">
        <v>0</v>
      </c>
      <c r="AK110" s="85">
        <v>0.902</v>
      </c>
      <c r="AL110" s="66">
        <v>48737.224799999996</v>
      </c>
      <c r="AM110" s="56">
        <v>2.662</v>
      </c>
      <c r="AN110" s="66">
        <v>143834.2488</v>
      </c>
      <c r="AO110" s="17">
        <v>1.19</v>
      </c>
      <c r="AP110" s="74">
        <v>1.03</v>
      </c>
      <c r="AQ110" s="74">
        <v>0.16</v>
      </c>
      <c r="AR110" s="74">
        <v>64298.556</v>
      </c>
    </row>
    <row r="111" spans="1:44" ht="12.75">
      <c r="A111" s="6">
        <v>101</v>
      </c>
      <c r="B111" s="80">
        <v>52</v>
      </c>
      <c r="C111" s="81" t="s">
        <v>53</v>
      </c>
      <c r="D111" s="80">
        <v>3357.6</v>
      </c>
      <c r="E111" s="85">
        <v>-0.0011813199904686655</v>
      </c>
      <c r="F111" s="82">
        <v>17.60118131999047</v>
      </c>
      <c r="G111" s="82">
        <v>17.6</v>
      </c>
      <c r="H111" s="82">
        <v>709172.7168</v>
      </c>
      <c r="I111" s="5">
        <v>1.86</v>
      </c>
      <c r="J111" s="58">
        <v>74941.63200000001</v>
      </c>
      <c r="K111" s="82">
        <v>0.32</v>
      </c>
      <c r="L111" s="58">
        <v>12893.184000000001</v>
      </c>
      <c r="M111" s="43">
        <v>0.05</v>
      </c>
      <c r="N111" s="58">
        <v>2014.56</v>
      </c>
      <c r="O111" s="82">
        <v>0.03</v>
      </c>
      <c r="P111" s="58">
        <v>1208.7359999999999</v>
      </c>
      <c r="Q111" s="12">
        <v>0.93</v>
      </c>
      <c r="R111" s="58">
        <v>37470.816000000006</v>
      </c>
      <c r="S111" s="82">
        <v>0.09</v>
      </c>
      <c r="T111" s="58">
        <v>3626.2079999999996</v>
      </c>
      <c r="U111" s="82">
        <v>3.68</v>
      </c>
      <c r="V111" s="58">
        <v>148271.616</v>
      </c>
      <c r="W111" s="85">
        <v>0.3871813199904694</v>
      </c>
      <c r="X111" s="58">
        <v>15600</v>
      </c>
      <c r="Y111" s="58"/>
      <c r="Z111" s="58">
        <v>0</v>
      </c>
      <c r="AA111" s="58"/>
      <c r="AB111" s="58"/>
      <c r="AC111" s="169">
        <v>5.5</v>
      </c>
      <c r="AD111" s="58">
        <v>221601.6</v>
      </c>
      <c r="AE111" s="12">
        <v>0</v>
      </c>
      <c r="AF111" s="12">
        <v>0</v>
      </c>
      <c r="AG111" s="12"/>
      <c r="AH111" s="12">
        <v>0</v>
      </c>
      <c r="AI111" s="82"/>
      <c r="AJ111" s="64">
        <v>0</v>
      </c>
      <c r="AK111" s="85">
        <v>0.902</v>
      </c>
      <c r="AL111" s="66">
        <v>36342.6624</v>
      </c>
      <c r="AM111" s="56">
        <v>2.662</v>
      </c>
      <c r="AN111" s="66">
        <v>107255.17439999999</v>
      </c>
      <c r="AO111" s="17">
        <v>1.19</v>
      </c>
      <c r="AP111" s="74">
        <v>1.03</v>
      </c>
      <c r="AQ111" s="74">
        <v>0.16</v>
      </c>
      <c r="AR111" s="74">
        <v>47946.528</v>
      </c>
    </row>
    <row r="112" spans="1:44" ht="12.75">
      <c r="A112" s="6">
        <v>102</v>
      </c>
      <c r="B112" s="80">
        <v>53</v>
      </c>
      <c r="C112" s="81" t="s">
        <v>54</v>
      </c>
      <c r="D112" s="80">
        <v>3319.6</v>
      </c>
      <c r="E112" s="85">
        <v>0.004386552596699289</v>
      </c>
      <c r="F112" s="82">
        <v>17.595613447403302</v>
      </c>
      <c r="G112" s="82">
        <v>17.6</v>
      </c>
      <c r="H112" s="82">
        <v>700924.7808000001</v>
      </c>
      <c r="I112" s="5">
        <v>1.86</v>
      </c>
      <c r="J112" s="58">
        <v>74093.47200000001</v>
      </c>
      <c r="K112" s="82">
        <v>0.32</v>
      </c>
      <c r="L112" s="58">
        <v>12747.264</v>
      </c>
      <c r="M112" s="43">
        <v>0.06</v>
      </c>
      <c r="N112" s="58">
        <v>2390.112</v>
      </c>
      <c r="O112" s="82"/>
      <c r="P112" s="58">
        <v>0</v>
      </c>
      <c r="Q112" s="12">
        <v>0.93</v>
      </c>
      <c r="R112" s="58">
        <v>37046.736000000004</v>
      </c>
      <c r="S112" s="82">
        <v>0.09</v>
      </c>
      <c r="T112" s="58">
        <v>3585.1679999999997</v>
      </c>
      <c r="U112" s="82">
        <v>3.1</v>
      </c>
      <c r="V112" s="58">
        <v>123489.12</v>
      </c>
      <c r="W112" s="85">
        <v>0.39161344740330156</v>
      </c>
      <c r="X112" s="58">
        <v>15600</v>
      </c>
      <c r="Y112" s="58"/>
      <c r="Z112" s="58">
        <v>0</v>
      </c>
      <c r="AA112" s="58"/>
      <c r="AB112" s="58"/>
      <c r="AC112" s="169">
        <v>6.09</v>
      </c>
      <c r="AD112" s="58">
        <v>242596.36799999996</v>
      </c>
      <c r="AE112" s="12">
        <v>0</v>
      </c>
      <c r="AF112" s="12">
        <v>0</v>
      </c>
      <c r="AG112" s="12"/>
      <c r="AH112" s="12">
        <v>0</v>
      </c>
      <c r="AI112" s="82"/>
      <c r="AJ112" s="64">
        <v>0</v>
      </c>
      <c r="AK112" s="85">
        <v>0.902</v>
      </c>
      <c r="AL112" s="66">
        <v>35931.350399999996</v>
      </c>
      <c r="AM112" s="56">
        <v>2.662</v>
      </c>
      <c r="AN112" s="66">
        <v>106041.3024</v>
      </c>
      <c r="AO112" s="17">
        <v>1.19</v>
      </c>
      <c r="AP112" s="74">
        <v>1.03</v>
      </c>
      <c r="AQ112" s="74">
        <v>0.16</v>
      </c>
      <c r="AR112" s="74">
        <v>47403.88799999999</v>
      </c>
    </row>
    <row r="113" spans="1:44" ht="12.75">
      <c r="A113" s="6">
        <v>103</v>
      </c>
      <c r="B113" s="80">
        <v>54</v>
      </c>
      <c r="C113" s="81" t="s">
        <v>55</v>
      </c>
      <c r="D113" s="170">
        <v>4489</v>
      </c>
      <c r="E113" s="85">
        <v>-0.0035967921586070872</v>
      </c>
      <c r="F113" s="82">
        <v>17.60359679215861</v>
      </c>
      <c r="G113" s="82">
        <v>17.6</v>
      </c>
      <c r="H113" s="82">
        <v>948270.552</v>
      </c>
      <c r="I113" s="5">
        <v>1.86</v>
      </c>
      <c r="J113" s="58">
        <v>100194.48</v>
      </c>
      <c r="K113" s="82">
        <v>0.32</v>
      </c>
      <c r="L113" s="58">
        <v>17237.76</v>
      </c>
      <c r="M113" s="43">
        <v>0.06</v>
      </c>
      <c r="N113" s="58">
        <v>3232.08</v>
      </c>
      <c r="O113" s="82"/>
      <c r="P113" s="58">
        <v>0</v>
      </c>
      <c r="Q113" s="12">
        <v>0.93</v>
      </c>
      <c r="R113" s="58">
        <v>50097.24</v>
      </c>
      <c r="S113" s="82">
        <v>0.09</v>
      </c>
      <c r="T113" s="58">
        <v>4848.12</v>
      </c>
      <c r="U113" s="82">
        <v>3.6</v>
      </c>
      <c r="V113" s="58">
        <v>193924.8</v>
      </c>
      <c r="W113" s="85">
        <v>0.28959679215860995</v>
      </c>
      <c r="X113" s="58">
        <v>15600</v>
      </c>
      <c r="Y113" s="58"/>
      <c r="Z113" s="58">
        <v>0</v>
      </c>
      <c r="AA113" s="58"/>
      <c r="AB113" s="58"/>
      <c r="AC113" s="169">
        <v>5.7</v>
      </c>
      <c r="AD113" s="58">
        <v>307047.6</v>
      </c>
      <c r="AE113" s="12">
        <v>0</v>
      </c>
      <c r="AF113" s="12">
        <v>0</v>
      </c>
      <c r="AG113" s="12"/>
      <c r="AH113" s="12">
        <v>0</v>
      </c>
      <c r="AI113" s="82"/>
      <c r="AJ113" s="64">
        <v>0</v>
      </c>
      <c r="AK113" s="85">
        <v>0.902</v>
      </c>
      <c r="AL113" s="66">
        <v>48588.936</v>
      </c>
      <c r="AM113" s="56">
        <v>2.662</v>
      </c>
      <c r="AN113" s="66">
        <v>143396.61599999998</v>
      </c>
      <c r="AO113" s="17">
        <v>1.19</v>
      </c>
      <c r="AP113" s="74">
        <v>1.03</v>
      </c>
      <c r="AQ113" s="74">
        <v>0.16</v>
      </c>
      <c r="AR113" s="74">
        <v>64102.92</v>
      </c>
    </row>
    <row r="114" spans="1:44" ht="12.75">
      <c r="A114" s="6">
        <v>104</v>
      </c>
      <c r="B114" s="80">
        <v>55</v>
      </c>
      <c r="C114" s="81" t="s">
        <v>56</v>
      </c>
      <c r="D114" s="43">
        <v>2236.7</v>
      </c>
      <c r="E114" s="85">
        <v>0.004786605266687616</v>
      </c>
      <c r="F114" s="82">
        <v>17.595213394733314</v>
      </c>
      <c r="G114" s="82">
        <v>17.6</v>
      </c>
      <c r="H114" s="82">
        <v>472262.56560000003</v>
      </c>
      <c r="I114" s="5">
        <v>1.86</v>
      </c>
      <c r="J114" s="58">
        <v>49923.144</v>
      </c>
      <c r="K114" s="82">
        <v>0.32</v>
      </c>
      <c r="L114" s="58">
        <v>8588.928</v>
      </c>
      <c r="M114" s="43">
        <v>0.06</v>
      </c>
      <c r="N114" s="58">
        <v>1610.424</v>
      </c>
      <c r="O114" s="82">
        <v>0.05</v>
      </c>
      <c r="P114" s="58">
        <v>1342.02</v>
      </c>
      <c r="Q114" s="12">
        <v>0.93</v>
      </c>
      <c r="R114" s="58">
        <v>24961.572</v>
      </c>
      <c r="S114" s="82">
        <v>0.09</v>
      </c>
      <c r="T114" s="58">
        <v>2415.6359999999995</v>
      </c>
      <c r="U114" s="82">
        <v>3.2</v>
      </c>
      <c r="V114" s="58">
        <v>85889.28</v>
      </c>
      <c r="W114" s="85">
        <v>0.5812133947333126</v>
      </c>
      <c r="X114" s="58">
        <v>15600</v>
      </c>
      <c r="Y114" s="58"/>
      <c r="Z114" s="58">
        <v>0</v>
      </c>
      <c r="AA114" s="58"/>
      <c r="AB114" s="58"/>
      <c r="AC114" s="169">
        <v>5.75</v>
      </c>
      <c r="AD114" s="58">
        <v>154332.3</v>
      </c>
      <c r="AE114" s="12">
        <v>0</v>
      </c>
      <c r="AF114" s="12">
        <v>0</v>
      </c>
      <c r="AG114" s="12"/>
      <c r="AH114" s="12">
        <v>0</v>
      </c>
      <c r="AI114" s="82"/>
      <c r="AJ114" s="64">
        <v>0</v>
      </c>
      <c r="AK114" s="85">
        <v>0.902</v>
      </c>
      <c r="AL114" s="66">
        <v>24210.0408</v>
      </c>
      <c r="AM114" s="56">
        <v>2.662</v>
      </c>
      <c r="AN114" s="66">
        <v>71449.1448</v>
      </c>
      <c r="AO114" s="17">
        <v>1.19</v>
      </c>
      <c r="AP114" s="74">
        <v>1.03</v>
      </c>
      <c r="AQ114" s="74">
        <v>0.16</v>
      </c>
      <c r="AR114" s="74">
        <v>31940.075999999997</v>
      </c>
    </row>
    <row r="115" spans="1:44" ht="12.75">
      <c r="A115" s="6">
        <v>105</v>
      </c>
      <c r="B115" s="80">
        <v>56</v>
      </c>
      <c r="C115" s="81" t="s">
        <v>57</v>
      </c>
      <c r="D115" s="80">
        <v>3307.96</v>
      </c>
      <c r="E115" s="85">
        <v>0.0030085490755595856</v>
      </c>
      <c r="F115" s="82">
        <v>17.596991450924442</v>
      </c>
      <c r="G115" s="82">
        <v>17.6</v>
      </c>
      <c r="H115" s="82">
        <v>698521.72608</v>
      </c>
      <c r="I115" s="5">
        <v>1.86</v>
      </c>
      <c r="J115" s="58">
        <v>73833.66720000001</v>
      </c>
      <c r="K115" s="82">
        <v>0.32</v>
      </c>
      <c r="L115" s="58">
        <v>12702.5664</v>
      </c>
      <c r="M115" s="43">
        <v>0.06</v>
      </c>
      <c r="N115" s="58">
        <v>2381.7312</v>
      </c>
      <c r="O115" s="82"/>
      <c r="P115" s="58">
        <v>0</v>
      </c>
      <c r="Q115" s="12">
        <v>0.93</v>
      </c>
      <c r="R115" s="58">
        <v>36916.833600000005</v>
      </c>
      <c r="S115" s="82">
        <v>0.09</v>
      </c>
      <c r="T115" s="58">
        <v>3572.5967999999993</v>
      </c>
      <c r="U115" s="82">
        <v>3.3</v>
      </c>
      <c r="V115" s="58">
        <v>130995.21600000001</v>
      </c>
      <c r="W115" s="85">
        <v>0.3929914509244368</v>
      </c>
      <c r="X115" s="58">
        <v>15600</v>
      </c>
      <c r="Y115" s="58"/>
      <c r="Z115" s="58">
        <v>0</v>
      </c>
      <c r="AA115" s="58"/>
      <c r="AB115" s="58"/>
      <c r="AC115" s="169">
        <v>5.89</v>
      </c>
      <c r="AD115" s="58">
        <v>233806.61280000003</v>
      </c>
      <c r="AE115" s="12">
        <v>0</v>
      </c>
      <c r="AF115" s="12">
        <v>0</v>
      </c>
      <c r="AG115" s="12"/>
      <c r="AH115" s="12">
        <v>0</v>
      </c>
      <c r="AI115" s="82"/>
      <c r="AJ115" s="64">
        <v>0</v>
      </c>
      <c r="AK115" s="85">
        <v>0.902</v>
      </c>
      <c r="AL115" s="66">
        <v>35805.359039999996</v>
      </c>
      <c r="AM115" s="56">
        <v>2.662</v>
      </c>
      <c r="AN115" s="66">
        <v>105669.47424000001</v>
      </c>
      <c r="AO115" s="17">
        <v>1.19</v>
      </c>
      <c r="AP115" s="74">
        <v>1.03</v>
      </c>
      <c r="AQ115" s="74">
        <v>0.16</v>
      </c>
      <c r="AR115" s="74">
        <v>47237.6688</v>
      </c>
    </row>
    <row r="116" spans="1:44" ht="12.75">
      <c r="A116" s="6">
        <v>106</v>
      </c>
      <c r="B116" s="80">
        <v>57</v>
      </c>
      <c r="C116" s="81" t="s">
        <v>58</v>
      </c>
      <c r="D116" s="80">
        <v>3333.9</v>
      </c>
      <c r="E116" s="85">
        <v>-0.003933711269084483</v>
      </c>
      <c r="F116" s="82">
        <v>17.603933711269086</v>
      </c>
      <c r="G116" s="82">
        <v>17.6</v>
      </c>
      <c r="H116" s="82">
        <v>704277.0551999998</v>
      </c>
      <c r="I116" s="5">
        <v>1.86</v>
      </c>
      <c r="J116" s="58">
        <v>74412.648</v>
      </c>
      <c r="K116" s="82">
        <v>0.32</v>
      </c>
      <c r="L116" s="58">
        <v>12802.176</v>
      </c>
      <c r="M116" s="43">
        <v>0.06</v>
      </c>
      <c r="N116" s="58">
        <v>2400.408</v>
      </c>
      <c r="O116" s="82"/>
      <c r="P116" s="58">
        <v>0</v>
      </c>
      <c r="Q116" s="12">
        <v>0.93</v>
      </c>
      <c r="R116" s="58">
        <v>37206.324</v>
      </c>
      <c r="S116" s="82">
        <v>0.09</v>
      </c>
      <c r="T116" s="58">
        <v>3600.612</v>
      </c>
      <c r="U116" s="82">
        <v>3.2</v>
      </c>
      <c r="V116" s="58">
        <v>128021.76</v>
      </c>
      <c r="W116" s="85">
        <v>0.3899337112690842</v>
      </c>
      <c r="X116" s="58">
        <v>15600</v>
      </c>
      <c r="Y116" s="58"/>
      <c r="Z116" s="58">
        <v>0</v>
      </c>
      <c r="AA116" s="58"/>
      <c r="AB116" s="58"/>
      <c r="AC116" s="169">
        <v>6</v>
      </c>
      <c r="AD116" s="58">
        <v>240040.8</v>
      </c>
      <c r="AE116" s="12">
        <v>0</v>
      </c>
      <c r="AF116" s="12">
        <v>0</v>
      </c>
      <c r="AG116" s="12"/>
      <c r="AH116" s="12">
        <v>0</v>
      </c>
      <c r="AI116" s="82"/>
      <c r="AJ116" s="64">
        <v>0</v>
      </c>
      <c r="AK116" s="85">
        <v>0.902</v>
      </c>
      <c r="AL116" s="66">
        <v>36086.1336</v>
      </c>
      <c r="AM116" s="56">
        <v>2.662</v>
      </c>
      <c r="AN116" s="66">
        <v>106498.1016</v>
      </c>
      <c r="AO116" s="17">
        <v>1.19</v>
      </c>
      <c r="AP116" s="74">
        <v>1.03</v>
      </c>
      <c r="AQ116" s="74">
        <v>0.16</v>
      </c>
      <c r="AR116" s="74">
        <v>47608.092</v>
      </c>
    </row>
    <row r="117" spans="1:44" ht="12.75">
      <c r="A117" s="6">
        <v>107</v>
      </c>
      <c r="B117" s="80">
        <v>58</v>
      </c>
      <c r="C117" s="81" t="s">
        <v>111</v>
      </c>
      <c r="D117" s="168">
        <v>2016</v>
      </c>
      <c r="E117" s="85">
        <v>-0.004000000000001336</v>
      </c>
      <c r="F117" s="82">
        <v>17.604000000000003</v>
      </c>
      <c r="G117" s="82">
        <v>17.6</v>
      </c>
      <c r="H117" s="82">
        <v>425875.968</v>
      </c>
      <c r="I117" s="5">
        <v>1.86</v>
      </c>
      <c r="J117" s="58">
        <v>44997.12</v>
      </c>
      <c r="K117" s="82">
        <v>0.32</v>
      </c>
      <c r="L117" s="58">
        <v>7741.44</v>
      </c>
      <c r="M117" s="43">
        <v>0.06</v>
      </c>
      <c r="N117" s="58">
        <v>1451.52</v>
      </c>
      <c r="O117" s="83">
        <v>0.01</v>
      </c>
      <c r="P117" s="58">
        <v>241.92</v>
      </c>
      <c r="Q117" s="12">
        <v>0.93</v>
      </c>
      <c r="R117" s="58">
        <v>22498.56</v>
      </c>
      <c r="S117" s="82">
        <v>0.09</v>
      </c>
      <c r="T117" s="58">
        <v>2177.28</v>
      </c>
      <c r="U117" s="82">
        <v>4.01</v>
      </c>
      <c r="V117" s="58">
        <v>97009.92</v>
      </c>
      <c r="W117" s="38"/>
      <c r="X117" s="58"/>
      <c r="Y117" s="82"/>
      <c r="Z117" s="58">
        <v>0</v>
      </c>
      <c r="AA117" s="58"/>
      <c r="AB117" s="58"/>
      <c r="AC117" s="169">
        <v>5.57</v>
      </c>
      <c r="AD117" s="58">
        <v>134749.44</v>
      </c>
      <c r="AE117" s="84">
        <v>0</v>
      </c>
      <c r="AF117" s="12">
        <v>0</v>
      </c>
      <c r="AG117" s="84"/>
      <c r="AH117" s="12">
        <v>0</v>
      </c>
      <c r="AI117" s="82"/>
      <c r="AJ117" s="64">
        <v>0</v>
      </c>
      <c r="AK117" s="85">
        <v>0.902</v>
      </c>
      <c r="AL117" s="66">
        <v>21821.184</v>
      </c>
      <c r="AM117" s="56">
        <v>2.662</v>
      </c>
      <c r="AN117" s="66">
        <v>64399.10399999999</v>
      </c>
      <c r="AO117" s="17">
        <v>1.19</v>
      </c>
      <c r="AP117" s="74">
        <v>1.03</v>
      </c>
      <c r="AQ117" s="74">
        <v>0.16</v>
      </c>
      <c r="AR117" s="74">
        <v>28788.48</v>
      </c>
    </row>
    <row r="118" spans="1:44" ht="12.75">
      <c r="A118" s="6">
        <v>108</v>
      </c>
      <c r="B118" s="80">
        <v>59</v>
      </c>
      <c r="C118" s="81" t="s">
        <v>112</v>
      </c>
      <c r="D118" s="80">
        <v>2053.5</v>
      </c>
      <c r="E118" s="85">
        <v>-9.203798393286888E-05</v>
      </c>
      <c r="F118" s="82">
        <v>17.600092037983934</v>
      </c>
      <c r="G118" s="82">
        <v>17.6</v>
      </c>
      <c r="H118" s="82">
        <v>433701.468</v>
      </c>
      <c r="I118" s="5">
        <v>1.86</v>
      </c>
      <c r="J118" s="58">
        <v>45834.12</v>
      </c>
      <c r="K118" s="82">
        <v>0.32</v>
      </c>
      <c r="L118" s="58">
        <v>7885.44</v>
      </c>
      <c r="M118" s="43">
        <v>0.06</v>
      </c>
      <c r="N118" s="58">
        <v>1478.52</v>
      </c>
      <c r="O118" s="83">
        <v>0.01</v>
      </c>
      <c r="P118" s="58">
        <v>246.42</v>
      </c>
      <c r="Q118" s="12">
        <v>0.93</v>
      </c>
      <c r="R118" s="58">
        <v>22917.06</v>
      </c>
      <c r="S118" s="82">
        <v>0.09</v>
      </c>
      <c r="T118" s="58">
        <v>2217.78</v>
      </c>
      <c r="U118" s="82">
        <v>3.83</v>
      </c>
      <c r="V118" s="58">
        <v>94378.86</v>
      </c>
      <c r="W118" s="85">
        <v>0.14609203798392986</v>
      </c>
      <c r="X118" s="58">
        <v>3600</v>
      </c>
      <c r="Y118" s="82"/>
      <c r="Z118" s="58">
        <v>0</v>
      </c>
      <c r="AA118" s="58"/>
      <c r="AB118" s="58"/>
      <c r="AC118" s="169">
        <v>5.6</v>
      </c>
      <c r="AD118" s="58">
        <v>137995.2</v>
      </c>
      <c r="AE118" s="84">
        <v>0</v>
      </c>
      <c r="AF118" s="12">
        <v>0</v>
      </c>
      <c r="AG118" s="84"/>
      <c r="AH118" s="12">
        <v>0</v>
      </c>
      <c r="AI118" s="82"/>
      <c r="AJ118" s="64">
        <v>0</v>
      </c>
      <c r="AK118" s="85">
        <v>0.902</v>
      </c>
      <c r="AL118" s="66">
        <v>22227.084000000003</v>
      </c>
      <c r="AM118" s="56">
        <v>2.662</v>
      </c>
      <c r="AN118" s="66">
        <v>65597.00399999999</v>
      </c>
      <c r="AO118" s="17">
        <v>1.19</v>
      </c>
      <c r="AP118" s="74">
        <v>1.03</v>
      </c>
      <c r="AQ118" s="74">
        <v>0.16</v>
      </c>
      <c r="AR118" s="74">
        <v>29323.98</v>
      </c>
    </row>
    <row r="119" spans="1:44" ht="12.75">
      <c r="A119" s="6">
        <v>109</v>
      </c>
      <c r="B119" s="80">
        <v>60</v>
      </c>
      <c r="C119" s="81" t="s">
        <v>113</v>
      </c>
      <c r="D119" s="80">
        <v>1959</v>
      </c>
      <c r="E119" s="85">
        <v>0.002860643185297107</v>
      </c>
      <c r="F119" s="82">
        <v>17.597139356814704</v>
      </c>
      <c r="G119" s="82">
        <v>17.6</v>
      </c>
      <c r="H119" s="82">
        <v>413673.552</v>
      </c>
      <c r="I119" s="5">
        <v>1.86</v>
      </c>
      <c r="J119" s="58">
        <v>43724.88</v>
      </c>
      <c r="K119" s="82">
        <v>0.32</v>
      </c>
      <c r="L119" s="58">
        <v>7522.56</v>
      </c>
      <c r="M119" s="43">
        <v>0.06</v>
      </c>
      <c r="N119" s="58">
        <v>1410.48</v>
      </c>
      <c r="O119" s="83"/>
      <c r="P119" s="58">
        <v>0</v>
      </c>
      <c r="Q119" s="12">
        <v>0.93</v>
      </c>
      <c r="R119" s="58">
        <v>21862.44</v>
      </c>
      <c r="S119" s="82">
        <v>0.09</v>
      </c>
      <c r="T119" s="58">
        <v>2115.72</v>
      </c>
      <c r="U119" s="82">
        <v>3.84</v>
      </c>
      <c r="V119" s="58">
        <v>90270.72</v>
      </c>
      <c r="W119" s="85">
        <v>0.1531393568147014</v>
      </c>
      <c r="X119" s="58">
        <v>3600</v>
      </c>
      <c r="Y119" s="82"/>
      <c r="Z119" s="58">
        <v>0</v>
      </c>
      <c r="AA119" s="58"/>
      <c r="AB119" s="58"/>
      <c r="AC119" s="169">
        <v>5.59</v>
      </c>
      <c r="AD119" s="58">
        <v>131409.72</v>
      </c>
      <c r="AE119" s="84">
        <v>0</v>
      </c>
      <c r="AF119" s="12">
        <v>0</v>
      </c>
      <c r="AG119" s="84"/>
      <c r="AH119" s="12">
        <v>0</v>
      </c>
      <c r="AI119" s="82"/>
      <c r="AJ119" s="64">
        <v>0</v>
      </c>
      <c r="AK119" s="85">
        <v>0.902</v>
      </c>
      <c r="AL119" s="66">
        <v>21204.216</v>
      </c>
      <c r="AM119" s="56">
        <v>2.662</v>
      </c>
      <c r="AN119" s="66">
        <v>62578.296</v>
      </c>
      <c r="AO119" s="17">
        <v>1.19</v>
      </c>
      <c r="AP119" s="74">
        <v>1.03</v>
      </c>
      <c r="AQ119" s="74">
        <v>0.16</v>
      </c>
      <c r="AR119" s="74">
        <v>27974.52</v>
      </c>
    </row>
    <row r="120" spans="1:44" ht="12.75">
      <c r="A120" s="6">
        <v>110</v>
      </c>
      <c r="B120" s="80">
        <v>61</v>
      </c>
      <c r="C120" s="81" t="s">
        <v>205</v>
      </c>
      <c r="D120" s="80">
        <v>1303.5</v>
      </c>
      <c r="E120" s="85">
        <v>-0.0013149213655552217</v>
      </c>
      <c r="F120" s="82">
        <v>17.601314921365557</v>
      </c>
      <c r="G120" s="82">
        <v>17.6</v>
      </c>
      <c r="H120" s="82">
        <v>275319.768</v>
      </c>
      <c r="I120" s="5">
        <v>1.86</v>
      </c>
      <c r="J120" s="58">
        <v>29094.12</v>
      </c>
      <c r="K120" s="82">
        <v>0.32</v>
      </c>
      <c r="L120" s="58">
        <v>5005.44</v>
      </c>
      <c r="M120" s="43">
        <v>0.06</v>
      </c>
      <c r="N120" s="58">
        <v>938.52</v>
      </c>
      <c r="O120" s="82">
        <v>0.01</v>
      </c>
      <c r="P120" s="58">
        <v>156.42</v>
      </c>
      <c r="Q120" s="12">
        <v>0.93</v>
      </c>
      <c r="R120" s="58">
        <v>14547.06</v>
      </c>
      <c r="S120" s="82">
        <v>0.09</v>
      </c>
      <c r="T120" s="58">
        <v>1407.78</v>
      </c>
      <c r="U120" s="82">
        <v>4.01</v>
      </c>
      <c r="V120" s="58">
        <v>62724.42</v>
      </c>
      <c r="W120" s="85">
        <v>0.9973149213655543</v>
      </c>
      <c r="X120" s="58">
        <v>15600</v>
      </c>
      <c r="Y120" s="58"/>
      <c r="Z120" s="58">
        <v>0</v>
      </c>
      <c r="AA120" s="58"/>
      <c r="AB120" s="58"/>
      <c r="AC120" s="169">
        <v>4.57</v>
      </c>
      <c r="AD120" s="58">
        <v>71483.94</v>
      </c>
      <c r="AE120" s="12">
        <v>0</v>
      </c>
      <c r="AF120" s="12">
        <v>0</v>
      </c>
      <c r="AG120" s="12"/>
      <c r="AH120" s="12">
        <v>0</v>
      </c>
      <c r="AI120" s="82"/>
      <c r="AJ120" s="64">
        <v>0</v>
      </c>
      <c r="AK120" s="85">
        <v>0.902</v>
      </c>
      <c r="AL120" s="66">
        <v>14109.084</v>
      </c>
      <c r="AM120" s="56">
        <v>2.662</v>
      </c>
      <c r="AN120" s="66">
        <v>41639.004</v>
      </c>
      <c r="AO120" s="17">
        <v>1.19</v>
      </c>
      <c r="AP120" s="74">
        <v>1.03</v>
      </c>
      <c r="AQ120" s="74">
        <v>0.16</v>
      </c>
      <c r="AR120" s="74">
        <v>18613.98</v>
      </c>
    </row>
    <row r="121" spans="1:44" ht="12.75">
      <c r="A121" s="6">
        <v>111</v>
      </c>
      <c r="B121" s="80">
        <v>62</v>
      </c>
      <c r="C121" s="81" t="s">
        <v>206</v>
      </c>
      <c r="D121" s="168">
        <v>960</v>
      </c>
      <c r="E121" s="85">
        <v>-0.0004999999999988347</v>
      </c>
      <c r="F121" s="82">
        <v>17.6005</v>
      </c>
      <c r="G121" s="82">
        <v>17.6</v>
      </c>
      <c r="H121" s="82">
        <v>202757.76</v>
      </c>
      <c r="I121" s="5">
        <v>1.86</v>
      </c>
      <c r="J121" s="58">
        <v>21427.2</v>
      </c>
      <c r="K121" s="82">
        <v>0.32</v>
      </c>
      <c r="L121" s="58">
        <v>3686.4</v>
      </c>
      <c r="M121" s="43">
        <v>0.06</v>
      </c>
      <c r="N121" s="58">
        <v>691.2</v>
      </c>
      <c r="O121" s="82">
        <v>0.014</v>
      </c>
      <c r="P121" s="58">
        <v>161.28</v>
      </c>
      <c r="Q121" s="12">
        <v>0.93</v>
      </c>
      <c r="R121" s="58">
        <v>10713.6</v>
      </c>
      <c r="S121" s="82">
        <v>0.09</v>
      </c>
      <c r="T121" s="58">
        <v>1036.8</v>
      </c>
      <c r="U121" s="82">
        <v>3.82</v>
      </c>
      <c r="V121" s="58">
        <v>44006.4</v>
      </c>
      <c r="W121" s="85">
        <v>0.3125</v>
      </c>
      <c r="X121" s="58">
        <v>3600</v>
      </c>
      <c r="Y121" s="58"/>
      <c r="Z121" s="58">
        <v>0</v>
      </c>
      <c r="AA121" s="58"/>
      <c r="AB121" s="58"/>
      <c r="AC121" s="169">
        <v>5.44</v>
      </c>
      <c r="AD121" s="58">
        <v>62668.8</v>
      </c>
      <c r="AE121" s="12">
        <v>0</v>
      </c>
      <c r="AF121" s="12">
        <v>0</v>
      </c>
      <c r="AG121" s="12"/>
      <c r="AH121" s="12">
        <v>0</v>
      </c>
      <c r="AI121" s="82"/>
      <c r="AJ121" s="64">
        <v>0</v>
      </c>
      <c r="AK121" s="85">
        <v>0.902</v>
      </c>
      <c r="AL121" s="66">
        <v>10391.04</v>
      </c>
      <c r="AM121" s="56">
        <v>2.662</v>
      </c>
      <c r="AN121" s="66">
        <v>30666.24</v>
      </c>
      <c r="AO121" s="17">
        <v>1.19</v>
      </c>
      <c r="AP121" s="74">
        <v>1.03</v>
      </c>
      <c r="AQ121" s="74">
        <v>0.16</v>
      </c>
      <c r="AR121" s="74">
        <v>13708.8</v>
      </c>
    </row>
    <row r="122" spans="1:44" ht="12.75">
      <c r="A122" s="6">
        <v>112</v>
      </c>
      <c r="B122" s="80">
        <v>63</v>
      </c>
      <c r="C122" s="81" t="s">
        <v>209</v>
      </c>
      <c r="D122" s="80">
        <v>1980.6</v>
      </c>
      <c r="E122" s="85">
        <v>0.0011024941936774724</v>
      </c>
      <c r="F122" s="82">
        <v>17.598897505806324</v>
      </c>
      <c r="G122" s="82">
        <v>17.6</v>
      </c>
      <c r="H122" s="82">
        <v>418276.5168</v>
      </c>
      <c r="I122" s="5">
        <v>1.86</v>
      </c>
      <c r="J122" s="58">
        <v>44206.992</v>
      </c>
      <c r="K122" s="82">
        <v>0.32</v>
      </c>
      <c r="L122" s="58">
        <v>7605.504000000001</v>
      </c>
      <c r="M122" s="43">
        <v>0.06</v>
      </c>
      <c r="N122" s="58">
        <v>1426.0319999999997</v>
      </c>
      <c r="O122" s="82">
        <v>0.05</v>
      </c>
      <c r="P122" s="58">
        <v>1188.36</v>
      </c>
      <c r="Q122" s="12">
        <v>0.93</v>
      </c>
      <c r="R122" s="58">
        <v>22103.496</v>
      </c>
      <c r="S122" s="82">
        <v>0.09</v>
      </c>
      <c r="T122" s="58">
        <v>2139.048</v>
      </c>
      <c r="U122" s="82">
        <v>3.79</v>
      </c>
      <c r="V122" s="58">
        <v>90077.68800000001</v>
      </c>
      <c r="W122" s="85">
        <v>0.5048975058063213</v>
      </c>
      <c r="X122" s="58">
        <v>12000</v>
      </c>
      <c r="Y122" s="82"/>
      <c r="Z122" s="58">
        <v>0</v>
      </c>
      <c r="AA122" s="58"/>
      <c r="AB122" s="58"/>
      <c r="AC122" s="169">
        <v>5.24</v>
      </c>
      <c r="AD122" s="58">
        <v>124540.128</v>
      </c>
      <c r="AE122" s="12">
        <v>0</v>
      </c>
      <c r="AF122" s="12">
        <v>0</v>
      </c>
      <c r="AG122" s="12"/>
      <c r="AH122" s="12">
        <v>0</v>
      </c>
      <c r="AI122" s="82"/>
      <c r="AJ122" s="64">
        <v>0</v>
      </c>
      <c r="AK122" s="85">
        <v>0.902</v>
      </c>
      <c r="AL122" s="66">
        <v>21438.0144</v>
      </c>
      <c r="AM122" s="56">
        <v>2.662</v>
      </c>
      <c r="AN122" s="66">
        <v>63268.2864</v>
      </c>
      <c r="AO122" s="17">
        <v>1.19</v>
      </c>
      <c r="AP122" s="74">
        <v>1.03</v>
      </c>
      <c r="AQ122" s="74">
        <v>0.16</v>
      </c>
      <c r="AR122" s="74">
        <v>28282.967999999997</v>
      </c>
    </row>
    <row r="123" spans="1:44" ht="12.75">
      <c r="A123" s="6">
        <v>113</v>
      </c>
      <c r="B123" s="80">
        <v>64</v>
      </c>
      <c r="C123" s="81" t="s">
        <v>59</v>
      </c>
      <c r="D123" s="80">
        <v>1998.9</v>
      </c>
      <c r="E123" s="85">
        <v>-0.004357696733205074</v>
      </c>
      <c r="F123" s="82">
        <v>17.604357696733206</v>
      </c>
      <c r="G123" s="82">
        <v>17.6</v>
      </c>
      <c r="H123" s="82">
        <v>422272.2072000001</v>
      </c>
      <c r="I123" s="5">
        <v>1.86</v>
      </c>
      <c r="J123" s="58">
        <v>44615.448000000004</v>
      </c>
      <c r="K123" s="82">
        <v>0.32</v>
      </c>
      <c r="L123" s="58">
        <v>7675.776</v>
      </c>
      <c r="M123" s="43">
        <v>0.06</v>
      </c>
      <c r="N123" s="58">
        <v>1439.208</v>
      </c>
      <c r="O123" s="82">
        <v>0.01</v>
      </c>
      <c r="P123" s="58">
        <v>239.868</v>
      </c>
      <c r="Q123" s="12">
        <v>0.93</v>
      </c>
      <c r="R123" s="58">
        <v>22307.724000000002</v>
      </c>
      <c r="S123" s="82">
        <v>0.09</v>
      </c>
      <c r="T123" s="58">
        <v>2158.812</v>
      </c>
      <c r="U123" s="82">
        <v>3.2</v>
      </c>
      <c r="V123" s="58">
        <v>76757.76</v>
      </c>
      <c r="W123" s="85">
        <v>0.6503576967332032</v>
      </c>
      <c r="X123" s="58">
        <v>15600</v>
      </c>
      <c r="Y123" s="58"/>
      <c r="Z123" s="58">
        <v>0</v>
      </c>
      <c r="AA123" s="58"/>
      <c r="AB123" s="58"/>
      <c r="AC123" s="169">
        <v>5.73</v>
      </c>
      <c r="AD123" s="58">
        <v>137444.36400000003</v>
      </c>
      <c r="AE123" s="12">
        <v>0</v>
      </c>
      <c r="AF123" s="12">
        <v>0</v>
      </c>
      <c r="AG123" s="12"/>
      <c r="AH123" s="12">
        <v>0</v>
      </c>
      <c r="AI123" s="82"/>
      <c r="AJ123" s="64">
        <v>0</v>
      </c>
      <c r="AK123" s="85">
        <v>0.902</v>
      </c>
      <c r="AL123" s="66">
        <v>21636.0936</v>
      </c>
      <c r="AM123" s="56">
        <v>2.662</v>
      </c>
      <c r="AN123" s="66">
        <v>63852.8616</v>
      </c>
      <c r="AO123" s="17">
        <v>1.19</v>
      </c>
      <c r="AP123" s="74">
        <v>1.03</v>
      </c>
      <c r="AQ123" s="74">
        <v>0.16</v>
      </c>
      <c r="AR123" s="74">
        <v>28544.291999999998</v>
      </c>
    </row>
    <row r="124" spans="1:44" ht="12.75">
      <c r="A124" s="6">
        <v>114</v>
      </c>
      <c r="B124" s="80">
        <v>65</v>
      </c>
      <c r="C124" s="81" t="s">
        <v>60</v>
      </c>
      <c r="D124" s="80">
        <v>2168.1</v>
      </c>
      <c r="E124" s="85">
        <v>-0.0036033393293664062</v>
      </c>
      <c r="F124" s="82">
        <v>17.603603339329368</v>
      </c>
      <c r="G124" s="82">
        <v>17.6</v>
      </c>
      <c r="H124" s="82">
        <v>457996.4687999999</v>
      </c>
      <c r="I124" s="5">
        <v>1.86</v>
      </c>
      <c r="J124" s="58">
        <v>48391.992</v>
      </c>
      <c r="K124" s="82">
        <v>0.32</v>
      </c>
      <c r="L124" s="58">
        <v>8325.504</v>
      </c>
      <c r="M124" s="43">
        <v>0.06</v>
      </c>
      <c r="N124" s="58">
        <v>1561.0319999999997</v>
      </c>
      <c r="O124" s="82">
        <v>0.01</v>
      </c>
      <c r="P124" s="58">
        <v>260.172</v>
      </c>
      <c r="Q124" s="12">
        <v>0.93</v>
      </c>
      <c r="R124" s="58">
        <v>24195.996</v>
      </c>
      <c r="S124" s="82">
        <v>0.09</v>
      </c>
      <c r="T124" s="58">
        <v>2341.548</v>
      </c>
      <c r="U124" s="82">
        <v>2.68</v>
      </c>
      <c r="V124" s="58">
        <v>69726.09599999999</v>
      </c>
      <c r="W124" s="85">
        <v>0.5996033393293668</v>
      </c>
      <c r="X124" s="58">
        <v>15600</v>
      </c>
      <c r="Y124" s="58"/>
      <c r="Z124" s="58">
        <v>0</v>
      </c>
      <c r="AA124" s="58"/>
      <c r="AB124" s="58"/>
      <c r="AC124" s="169">
        <v>6.3</v>
      </c>
      <c r="AD124" s="58">
        <v>163908.36</v>
      </c>
      <c r="AE124" s="12">
        <v>0</v>
      </c>
      <c r="AF124" s="12">
        <v>0</v>
      </c>
      <c r="AG124" s="12"/>
      <c r="AH124" s="12">
        <v>0</v>
      </c>
      <c r="AI124" s="82"/>
      <c r="AJ124" s="64">
        <v>0</v>
      </c>
      <c r="AK124" s="85">
        <v>0.902</v>
      </c>
      <c r="AL124" s="66">
        <v>23467.5144</v>
      </c>
      <c r="AM124" s="56">
        <v>2.662</v>
      </c>
      <c r="AN124" s="66">
        <v>69257.7864</v>
      </c>
      <c r="AO124" s="17">
        <v>1.19</v>
      </c>
      <c r="AP124" s="74">
        <v>1.03</v>
      </c>
      <c r="AQ124" s="74">
        <v>0.16</v>
      </c>
      <c r="AR124" s="74">
        <v>30960.467999999997</v>
      </c>
    </row>
    <row r="125" spans="1:44" ht="12.75">
      <c r="A125" s="6">
        <v>115</v>
      </c>
      <c r="B125" s="80">
        <v>66</v>
      </c>
      <c r="C125" s="81" t="s">
        <v>61</v>
      </c>
      <c r="D125" s="80">
        <v>2026.6</v>
      </c>
      <c r="E125" s="85">
        <v>0.004531530642456261</v>
      </c>
      <c r="F125" s="82">
        <v>17.595468469357545</v>
      </c>
      <c r="G125" s="82">
        <v>17.6</v>
      </c>
      <c r="H125" s="82">
        <v>427907.7168</v>
      </c>
      <c r="I125" s="5">
        <v>1.86</v>
      </c>
      <c r="J125" s="58">
        <v>45233.712</v>
      </c>
      <c r="K125" s="82">
        <v>0.32</v>
      </c>
      <c r="L125" s="58">
        <v>7782.143999999999</v>
      </c>
      <c r="M125" s="43">
        <v>0.05</v>
      </c>
      <c r="N125" s="58">
        <v>1215.96</v>
      </c>
      <c r="O125" s="82">
        <v>0.01</v>
      </c>
      <c r="P125" s="58">
        <v>243.19199999999998</v>
      </c>
      <c r="Q125" s="12">
        <v>0.93</v>
      </c>
      <c r="R125" s="58">
        <v>22616.856</v>
      </c>
      <c r="S125" s="82">
        <v>0.09</v>
      </c>
      <c r="T125" s="58">
        <v>2188.7279999999996</v>
      </c>
      <c r="U125" s="82">
        <v>3.2</v>
      </c>
      <c r="V125" s="58">
        <v>77821.44</v>
      </c>
      <c r="W125" s="85">
        <v>0.6414684693575446</v>
      </c>
      <c r="X125" s="58">
        <v>15600</v>
      </c>
      <c r="Y125" s="58"/>
      <c r="Z125" s="58">
        <v>0</v>
      </c>
      <c r="AA125" s="58"/>
      <c r="AB125" s="58"/>
      <c r="AC125" s="169">
        <v>5.74</v>
      </c>
      <c r="AD125" s="58">
        <v>139592.20799999998</v>
      </c>
      <c r="AE125" s="12">
        <v>0</v>
      </c>
      <c r="AF125" s="12">
        <v>0</v>
      </c>
      <c r="AG125" s="12"/>
      <c r="AH125" s="12">
        <v>0</v>
      </c>
      <c r="AI125" s="82"/>
      <c r="AJ125" s="64">
        <v>0</v>
      </c>
      <c r="AK125" s="85">
        <v>0.902</v>
      </c>
      <c r="AL125" s="66">
        <v>21935.9184</v>
      </c>
      <c r="AM125" s="56">
        <v>2.662</v>
      </c>
      <c r="AN125" s="66">
        <v>64737.710399999996</v>
      </c>
      <c r="AO125" s="17">
        <v>1.19</v>
      </c>
      <c r="AP125" s="74">
        <v>1.03</v>
      </c>
      <c r="AQ125" s="74">
        <v>0.16</v>
      </c>
      <c r="AR125" s="74">
        <v>28939.847999999998</v>
      </c>
    </row>
    <row r="126" spans="1:44" ht="12.75">
      <c r="A126" s="6">
        <v>116</v>
      </c>
      <c r="B126" s="80">
        <v>67</v>
      </c>
      <c r="C126" s="81" t="s">
        <v>62</v>
      </c>
      <c r="D126" s="80">
        <v>6590.55</v>
      </c>
      <c r="E126" s="85">
        <v>0.00012181077451600686</v>
      </c>
      <c r="F126" s="82">
        <v>17.599878189225485</v>
      </c>
      <c r="G126" s="82">
        <v>17.6</v>
      </c>
      <c r="H126" s="82">
        <v>1391914.5264</v>
      </c>
      <c r="I126" s="5">
        <v>1.86</v>
      </c>
      <c r="J126" s="58">
        <v>147101.076</v>
      </c>
      <c r="K126" s="82">
        <v>0.32</v>
      </c>
      <c r="L126" s="58">
        <v>25307.712</v>
      </c>
      <c r="M126" s="43">
        <v>0.05</v>
      </c>
      <c r="N126" s="58">
        <v>3954.33</v>
      </c>
      <c r="O126" s="82">
        <v>0.05</v>
      </c>
      <c r="P126" s="58">
        <v>3954.33</v>
      </c>
      <c r="Q126" s="12">
        <v>0.93</v>
      </c>
      <c r="R126" s="58">
        <v>73550.538</v>
      </c>
      <c r="S126" s="82">
        <v>0.09</v>
      </c>
      <c r="T126" s="58">
        <v>7117.794</v>
      </c>
      <c r="U126" s="82">
        <v>3.4</v>
      </c>
      <c r="V126" s="58">
        <v>268894.44</v>
      </c>
      <c r="W126" s="85">
        <v>0.2958781892254819</v>
      </c>
      <c r="X126" s="58">
        <v>23400</v>
      </c>
      <c r="Y126" s="58"/>
      <c r="Z126" s="58">
        <v>0</v>
      </c>
      <c r="AA126" s="58"/>
      <c r="AB126" s="58"/>
      <c r="AC126" s="169">
        <v>5.85</v>
      </c>
      <c r="AD126" s="58">
        <v>462656.61</v>
      </c>
      <c r="AE126" s="12">
        <v>0</v>
      </c>
      <c r="AF126" s="12">
        <v>0</v>
      </c>
      <c r="AG126" s="12"/>
      <c r="AH126" s="12">
        <v>0</v>
      </c>
      <c r="AI126" s="82"/>
      <c r="AJ126" s="64">
        <v>0</v>
      </c>
      <c r="AK126" s="85">
        <v>0.902</v>
      </c>
      <c r="AL126" s="66">
        <v>71336.1132</v>
      </c>
      <c r="AM126" s="56">
        <v>2.662</v>
      </c>
      <c r="AN126" s="66">
        <v>210528.5292</v>
      </c>
      <c r="AO126" s="17">
        <v>1.19</v>
      </c>
      <c r="AP126" s="74">
        <v>1.03</v>
      </c>
      <c r="AQ126" s="74">
        <v>0.16</v>
      </c>
      <c r="AR126" s="74">
        <v>94113.054</v>
      </c>
    </row>
    <row r="127" spans="1:44" ht="12.75">
      <c r="A127" s="6">
        <v>117</v>
      </c>
      <c r="B127" s="80">
        <v>68</v>
      </c>
      <c r="C127" s="81" t="s">
        <v>63</v>
      </c>
      <c r="D127" s="80">
        <v>4542.65</v>
      </c>
      <c r="E127" s="85">
        <v>-0.00017657094427292463</v>
      </c>
      <c r="F127" s="82">
        <v>17.600176570944274</v>
      </c>
      <c r="G127" s="82">
        <v>17.6</v>
      </c>
      <c r="H127" s="82">
        <v>959417.3051999998</v>
      </c>
      <c r="I127" s="5">
        <v>1.86</v>
      </c>
      <c r="J127" s="58">
        <v>101391.948</v>
      </c>
      <c r="K127" s="82">
        <v>0.32</v>
      </c>
      <c r="L127" s="58">
        <v>17443.775999999998</v>
      </c>
      <c r="M127" s="43">
        <v>0.06</v>
      </c>
      <c r="N127" s="58">
        <v>3270.7079999999996</v>
      </c>
      <c r="O127" s="82"/>
      <c r="P127" s="58">
        <v>0</v>
      </c>
      <c r="Q127" s="12">
        <v>0.93</v>
      </c>
      <c r="R127" s="58">
        <v>50695.974</v>
      </c>
      <c r="S127" s="82">
        <v>0.09</v>
      </c>
      <c r="T127" s="58">
        <v>4906.062</v>
      </c>
      <c r="U127" s="82">
        <v>3.78</v>
      </c>
      <c r="V127" s="58">
        <v>206054.60399999996</v>
      </c>
      <c r="W127" s="85">
        <v>0.2861765709442726</v>
      </c>
      <c r="X127" s="58">
        <v>15600</v>
      </c>
      <c r="Y127" s="58"/>
      <c r="Z127" s="58">
        <v>0</v>
      </c>
      <c r="AA127" s="58"/>
      <c r="AB127" s="58"/>
      <c r="AC127" s="169">
        <v>5.52</v>
      </c>
      <c r="AD127" s="58">
        <v>300905.13599999994</v>
      </c>
      <c r="AE127" s="12">
        <v>0</v>
      </c>
      <c r="AF127" s="12">
        <v>0</v>
      </c>
      <c r="AG127" s="12"/>
      <c r="AH127" s="12">
        <v>0</v>
      </c>
      <c r="AI127" s="82"/>
      <c r="AJ127" s="64">
        <v>0</v>
      </c>
      <c r="AK127" s="85">
        <v>0.902</v>
      </c>
      <c r="AL127" s="66">
        <v>49169.643599999996</v>
      </c>
      <c r="AM127" s="56">
        <v>2.662</v>
      </c>
      <c r="AN127" s="66">
        <v>145110.4116</v>
      </c>
      <c r="AO127" s="17">
        <v>1.19</v>
      </c>
      <c r="AP127" s="74">
        <v>1.03</v>
      </c>
      <c r="AQ127" s="74">
        <v>0.16</v>
      </c>
      <c r="AR127" s="74">
        <v>64869.04199999999</v>
      </c>
    </row>
    <row r="128" spans="1:44" ht="12.75">
      <c r="A128" s="6">
        <v>118</v>
      </c>
      <c r="B128" s="80">
        <v>69</v>
      </c>
      <c r="C128" s="81" t="s">
        <v>64</v>
      </c>
      <c r="D128" s="80">
        <v>6051.96</v>
      </c>
      <c r="E128" s="85">
        <v>-0.0014243055142486583</v>
      </c>
      <c r="F128" s="82">
        <v>17.60142430551425</v>
      </c>
      <c r="G128" s="82">
        <v>17.6</v>
      </c>
      <c r="H128" s="82">
        <v>1278277.3900799998</v>
      </c>
      <c r="I128" s="5">
        <v>1.86</v>
      </c>
      <c r="J128" s="58">
        <v>135079.74719999998</v>
      </c>
      <c r="K128" s="82">
        <v>0.32</v>
      </c>
      <c r="L128" s="58">
        <v>23239.526400000002</v>
      </c>
      <c r="M128" s="43">
        <v>0.06</v>
      </c>
      <c r="N128" s="58">
        <v>4357.4112</v>
      </c>
      <c r="O128" s="82">
        <v>0.05</v>
      </c>
      <c r="P128" s="58">
        <v>3631.1760000000004</v>
      </c>
      <c r="Q128" s="12">
        <v>0.93</v>
      </c>
      <c r="R128" s="58">
        <v>67539.87359999999</v>
      </c>
      <c r="S128" s="82">
        <v>0.09</v>
      </c>
      <c r="T128" s="58">
        <v>6536.1168</v>
      </c>
      <c r="U128" s="82">
        <v>3.6</v>
      </c>
      <c r="V128" s="58">
        <v>261444.67200000002</v>
      </c>
      <c r="W128" s="85">
        <v>0.29742430551424665</v>
      </c>
      <c r="X128" s="58">
        <v>21600</v>
      </c>
      <c r="Y128" s="58"/>
      <c r="Z128" s="58">
        <v>0</v>
      </c>
      <c r="AA128" s="58"/>
      <c r="AB128" s="58"/>
      <c r="AC128" s="169">
        <v>5.64</v>
      </c>
      <c r="AD128" s="58">
        <v>409596.65280000004</v>
      </c>
      <c r="AE128" s="12">
        <v>0</v>
      </c>
      <c r="AF128" s="12">
        <v>0</v>
      </c>
      <c r="AG128" s="12"/>
      <c r="AH128" s="12">
        <v>0</v>
      </c>
      <c r="AI128" s="82"/>
      <c r="AJ128" s="64">
        <v>0</v>
      </c>
      <c r="AK128" s="85">
        <v>0.902</v>
      </c>
      <c r="AL128" s="66">
        <v>65506.41504000001</v>
      </c>
      <c r="AM128" s="56">
        <v>2.662</v>
      </c>
      <c r="AN128" s="66">
        <v>193323.81024000002</v>
      </c>
      <c r="AO128" s="17">
        <v>1.19</v>
      </c>
      <c r="AP128" s="74">
        <v>1.03</v>
      </c>
      <c r="AQ128" s="74">
        <v>0.16</v>
      </c>
      <c r="AR128" s="74">
        <v>86421.98879999999</v>
      </c>
    </row>
    <row r="129" spans="1:44" ht="12.75">
      <c r="A129" s="6">
        <v>119</v>
      </c>
      <c r="B129" s="80">
        <v>70</v>
      </c>
      <c r="C129" s="81" t="s">
        <v>65</v>
      </c>
      <c r="D129" s="80">
        <v>3331.1</v>
      </c>
      <c r="E129" s="85">
        <v>-0.004261475188375385</v>
      </c>
      <c r="F129" s="82">
        <v>17.604261475188377</v>
      </c>
      <c r="G129" s="82">
        <v>17.6</v>
      </c>
      <c r="H129" s="82">
        <v>703698.6648</v>
      </c>
      <c r="I129" s="5">
        <v>1.86</v>
      </c>
      <c r="J129" s="58">
        <v>74350.152</v>
      </c>
      <c r="K129" s="82">
        <v>0.32</v>
      </c>
      <c r="L129" s="58">
        <v>12791.423999999999</v>
      </c>
      <c r="M129" s="43">
        <v>0.06</v>
      </c>
      <c r="N129" s="58">
        <v>2398.392</v>
      </c>
      <c r="O129" s="82">
        <v>0.05</v>
      </c>
      <c r="P129" s="58">
        <v>1998.66</v>
      </c>
      <c r="Q129" s="12">
        <v>0.93</v>
      </c>
      <c r="R129" s="58">
        <v>37175.076</v>
      </c>
      <c r="S129" s="82"/>
      <c r="T129" s="58">
        <v>0</v>
      </c>
      <c r="U129" s="82">
        <v>3.2</v>
      </c>
      <c r="V129" s="58">
        <v>127914.24</v>
      </c>
      <c r="W129" s="85">
        <v>0.39026147518837623</v>
      </c>
      <c r="X129" s="58">
        <v>15600</v>
      </c>
      <c r="Y129" s="58"/>
      <c r="Z129" s="58">
        <v>0</v>
      </c>
      <c r="AA129" s="58"/>
      <c r="AB129" s="58"/>
      <c r="AC129" s="169">
        <v>6.04</v>
      </c>
      <c r="AD129" s="58">
        <v>241438.12800000003</v>
      </c>
      <c r="AE129" s="12">
        <v>0</v>
      </c>
      <c r="AF129" s="12">
        <v>0</v>
      </c>
      <c r="AG129" s="12"/>
      <c r="AH129" s="12">
        <v>0</v>
      </c>
      <c r="AI129" s="82"/>
      <c r="AJ129" s="64">
        <v>0</v>
      </c>
      <c r="AK129" s="85">
        <v>0.902</v>
      </c>
      <c r="AL129" s="66">
        <v>36055.8264</v>
      </c>
      <c r="AM129" s="56">
        <v>2.662</v>
      </c>
      <c r="AN129" s="66">
        <v>106408.65839999999</v>
      </c>
      <c r="AO129" s="17">
        <v>1.19</v>
      </c>
      <c r="AP129" s="74">
        <v>1.03</v>
      </c>
      <c r="AQ129" s="74">
        <v>0.16</v>
      </c>
      <c r="AR129" s="74">
        <v>47568.10799999999</v>
      </c>
    </row>
    <row r="130" spans="1:44" ht="12.75">
      <c r="A130" s="6">
        <v>120</v>
      </c>
      <c r="B130" s="80">
        <v>71</v>
      </c>
      <c r="C130" s="81" t="s">
        <v>66</v>
      </c>
      <c r="D130" s="80">
        <v>3429.3</v>
      </c>
      <c r="E130" s="85">
        <v>-0.0030861108681108362</v>
      </c>
      <c r="F130" s="82">
        <v>17.603086110868112</v>
      </c>
      <c r="G130" s="82">
        <v>17.6</v>
      </c>
      <c r="H130" s="82">
        <v>724395.1584000001</v>
      </c>
      <c r="I130" s="5">
        <v>1.86</v>
      </c>
      <c r="J130" s="58">
        <v>76541.97600000001</v>
      </c>
      <c r="K130" s="82">
        <v>0.32</v>
      </c>
      <c r="L130" s="58">
        <v>13168.511999999999</v>
      </c>
      <c r="M130" s="43">
        <v>0.06</v>
      </c>
      <c r="N130" s="58">
        <v>2469.096</v>
      </c>
      <c r="O130" s="82">
        <v>0.05</v>
      </c>
      <c r="P130" s="58">
        <v>2057.58</v>
      </c>
      <c r="Q130" s="12">
        <v>0.93</v>
      </c>
      <c r="R130" s="58">
        <v>38270.988000000005</v>
      </c>
      <c r="S130" s="82">
        <v>0.09</v>
      </c>
      <c r="T130" s="58">
        <v>3703.6440000000002</v>
      </c>
      <c r="U130" s="82">
        <v>3.59</v>
      </c>
      <c r="V130" s="58">
        <v>147734.244</v>
      </c>
      <c r="W130" s="85">
        <v>0.3790861108681072</v>
      </c>
      <c r="X130" s="58">
        <v>15600</v>
      </c>
      <c r="Y130" s="58"/>
      <c r="Z130" s="58">
        <v>0</v>
      </c>
      <c r="AA130" s="58"/>
      <c r="AB130" s="58"/>
      <c r="AC130" s="169">
        <v>5.57</v>
      </c>
      <c r="AD130" s="58">
        <v>229214.412</v>
      </c>
      <c r="AE130" s="12">
        <v>0</v>
      </c>
      <c r="AF130" s="12">
        <v>0</v>
      </c>
      <c r="AG130" s="12"/>
      <c r="AH130" s="12">
        <v>0</v>
      </c>
      <c r="AI130" s="82"/>
      <c r="AJ130" s="64">
        <v>0</v>
      </c>
      <c r="AK130" s="85">
        <v>0.902</v>
      </c>
      <c r="AL130" s="66">
        <v>37118.743200000004</v>
      </c>
      <c r="AM130" s="56">
        <v>2.662</v>
      </c>
      <c r="AN130" s="66">
        <v>109545.55919999999</v>
      </c>
      <c r="AO130" s="17">
        <v>1.19</v>
      </c>
      <c r="AP130" s="74">
        <v>1.03</v>
      </c>
      <c r="AQ130" s="74">
        <v>0.16</v>
      </c>
      <c r="AR130" s="74">
        <v>48970.404</v>
      </c>
    </row>
    <row r="131" spans="1:44" ht="12.75">
      <c r="A131" s="6">
        <v>121</v>
      </c>
      <c r="B131" s="80">
        <v>72</v>
      </c>
      <c r="C131" s="81" t="s">
        <v>67</v>
      </c>
      <c r="D131" s="80">
        <v>3762.8</v>
      </c>
      <c r="E131" s="85">
        <v>0.0005125970022312742</v>
      </c>
      <c r="F131" s="82">
        <v>17.59948740299777</v>
      </c>
      <c r="G131" s="82">
        <v>17.6</v>
      </c>
      <c r="H131" s="82">
        <v>794680.2144</v>
      </c>
      <c r="I131" s="5">
        <v>1.86</v>
      </c>
      <c r="J131" s="58">
        <v>83985.69600000001</v>
      </c>
      <c r="K131" s="82">
        <v>0.32</v>
      </c>
      <c r="L131" s="58">
        <v>14449.152</v>
      </c>
      <c r="M131" s="43">
        <v>0.06</v>
      </c>
      <c r="N131" s="58">
        <v>2709.216</v>
      </c>
      <c r="O131" s="82">
        <v>0.05</v>
      </c>
      <c r="P131" s="58">
        <v>2257.68</v>
      </c>
      <c r="Q131" s="12">
        <v>0.93</v>
      </c>
      <c r="R131" s="58">
        <v>41992.848000000005</v>
      </c>
      <c r="S131" s="82">
        <v>0.09</v>
      </c>
      <c r="T131" s="58">
        <v>4063.8239999999996</v>
      </c>
      <c r="U131" s="82">
        <v>3.26</v>
      </c>
      <c r="V131" s="58">
        <v>147200.73599999998</v>
      </c>
      <c r="W131" s="85">
        <v>0.34548740299776765</v>
      </c>
      <c r="X131" s="58">
        <v>15600</v>
      </c>
      <c r="Y131" s="58"/>
      <c r="Z131" s="58">
        <v>0</v>
      </c>
      <c r="AA131" s="58"/>
      <c r="AB131" s="58"/>
      <c r="AC131" s="169">
        <v>5.93</v>
      </c>
      <c r="AD131" s="58">
        <v>267760.848</v>
      </c>
      <c r="AE131" s="12">
        <v>0</v>
      </c>
      <c r="AF131" s="12">
        <v>0</v>
      </c>
      <c r="AG131" s="12"/>
      <c r="AH131" s="12">
        <v>0</v>
      </c>
      <c r="AI131" s="82"/>
      <c r="AJ131" s="64">
        <v>0</v>
      </c>
      <c r="AK131" s="85">
        <v>0.902</v>
      </c>
      <c r="AL131" s="66">
        <v>40728.5472</v>
      </c>
      <c r="AM131" s="56">
        <v>2.662</v>
      </c>
      <c r="AN131" s="66">
        <v>120198.8832</v>
      </c>
      <c r="AO131" s="17">
        <v>1.19</v>
      </c>
      <c r="AP131" s="74">
        <v>1.03</v>
      </c>
      <c r="AQ131" s="74">
        <v>0.16</v>
      </c>
      <c r="AR131" s="74">
        <v>53732.784</v>
      </c>
    </row>
    <row r="132" spans="1:44" ht="12.75">
      <c r="A132" s="6">
        <v>122</v>
      </c>
      <c r="B132" s="80">
        <v>73</v>
      </c>
      <c r="C132" s="81" t="s">
        <v>120</v>
      </c>
      <c r="D132" s="43">
        <v>2514.3</v>
      </c>
      <c r="E132" s="85">
        <v>-0.004000000000001336</v>
      </c>
      <c r="F132" s="82">
        <v>17.604000000000003</v>
      </c>
      <c r="G132" s="82">
        <v>17.6</v>
      </c>
      <c r="H132" s="82">
        <v>531140.8464</v>
      </c>
      <c r="I132" s="5">
        <v>1.86</v>
      </c>
      <c r="J132" s="58">
        <v>56119.17600000001</v>
      </c>
      <c r="K132" s="82">
        <v>0.32</v>
      </c>
      <c r="L132" s="58">
        <v>9654.912</v>
      </c>
      <c r="M132" s="43">
        <v>0.06</v>
      </c>
      <c r="N132" s="58">
        <v>1810.296</v>
      </c>
      <c r="O132" s="83">
        <v>0.01</v>
      </c>
      <c r="P132" s="58">
        <v>301.716</v>
      </c>
      <c r="Q132" s="12">
        <v>0.93</v>
      </c>
      <c r="R132" s="58">
        <v>28059.588000000003</v>
      </c>
      <c r="S132" s="82">
        <v>0.09</v>
      </c>
      <c r="T132" s="58">
        <v>2715.444</v>
      </c>
      <c r="U132" s="82">
        <v>3.83</v>
      </c>
      <c r="V132" s="58">
        <v>115557.228</v>
      </c>
      <c r="W132" s="38"/>
      <c r="X132" s="58"/>
      <c r="Y132" s="82"/>
      <c r="Z132" s="58">
        <v>0</v>
      </c>
      <c r="AA132" s="58"/>
      <c r="AB132" s="58"/>
      <c r="AC132" s="169">
        <v>5.75</v>
      </c>
      <c r="AD132" s="58">
        <v>173486.7</v>
      </c>
      <c r="AE132" s="84">
        <v>0</v>
      </c>
      <c r="AF132" s="12">
        <v>0</v>
      </c>
      <c r="AG132" s="84"/>
      <c r="AH132" s="12">
        <v>0</v>
      </c>
      <c r="AI132" s="82"/>
      <c r="AJ132" s="64">
        <v>0</v>
      </c>
      <c r="AK132" s="85">
        <v>0.902</v>
      </c>
      <c r="AL132" s="66">
        <v>27214.783200000005</v>
      </c>
      <c r="AM132" s="56">
        <v>2.662</v>
      </c>
      <c r="AN132" s="66">
        <v>80316.79920000001</v>
      </c>
      <c r="AO132" s="17">
        <v>1.19</v>
      </c>
      <c r="AP132" s="74">
        <v>1.03</v>
      </c>
      <c r="AQ132" s="74">
        <v>0.16</v>
      </c>
      <c r="AR132" s="74">
        <v>35904.204000000005</v>
      </c>
    </row>
    <row r="133" spans="1:44" ht="12.75">
      <c r="A133" s="6">
        <v>123</v>
      </c>
      <c r="B133" s="80">
        <v>74</v>
      </c>
      <c r="C133" s="81" t="s">
        <v>121</v>
      </c>
      <c r="D133" s="43">
        <v>1997.3</v>
      </c>
      <c r="E133" s="85">
        <v>-0.004878686226405193</v>
      </c>
      <c r="F133" s="82">
        <v>17.604878686226407</v>
      </c>
      <c r="G133" s="82">
        <v>17.6</v>
      </c>
      <c r="H133" s="82">
        <v>421946.6904</v>
      </c>
      <c r="I133" s="5">
        <v>1.86</v>
      </c>
      <c r="J133" s="58">
        <v>44579.736000000004</v>
      </c>
      <c r="K133" s="82">
        <v>0.32</v>
      </c>
      <c r="L133" s="58">
        <v>7669.632</v>
      </c>
      <c r="M133" s="43">
        <v>0.06</v>
      </c>
      <c r="N133" s="58">
        <v>1438.056</v>
      </c>
      <c r="O133" s="83">
        <v>0.01</v>
      </c>
      <c r="P133" s="58">
        <v>239.676</v>
      </c>
      <c r="Q133" s="12">
        <v>0.93</v>
      </c>
      <c r="R133" s="58">
        <v>22289.868000000002</v>
      </c>
      <c r="S133" s="82">
        <v>0.09</v>
      </c>
      <c r="T133" s="58">
        <v>2157.084</v>
      </c>
      <c r="U133" s="82">
        <v>3.83</v>
      </c>
      <c r="V133" s="58">
        <v>91795.908</v>
      </c>
      <c r="W133" s="85">
        <v>0.6508786862264057</v>
      </c>
      <c r="X133" s="58">
        <v>15600</v>
      </c>
      <c r="Y133" s="82"/>
      <c r="Z133" s="58">
        <v>0</v>
      </c>
      <c r="AA133" s="58"/>
      <c r="AB133" s="58"/>
      <c r="AC133" s="169">
        <v>5.1</v>
      </c>
      <c r="AD133" s="58">
        <v>122234.76</v>
      </c>
      <c r="AE133" s="84">
        <v>0</v>
      </c>
      <c r="AF133" s="12">
        <v>0</v>
      </c>
      <c r="AG133" s="84"/>
      <c r="AH133" s="12">
        <v>0</v>
      </c>
      <c r="AI133" s="82"/>
      <c r="AJ133" s="64">
        <v>0</v>
      </c>
      <c r="AK133" s="85">
        <v>0.902</v>
      </c>
      <c r="AL133" s="66">
        <v>21618.7752</v>
      </c>
      <c r="AM133" s="56">
        <v>2.662</v>
      </c>
      <c r="AN133" s="66">
        <v>63801.75119999999</v>
      </c>
      <c r="AO133" s="17">
        <v>1.19</v>
      </c>
      <c r="AP133" s="74">
        <v>1.03</v>
      </c>
      <c r="AQ133" s="74">
        <v>0.16</v>
      </c>
      <c r="AR133" s="74">
        <v>28521.443999999996</v>
      </c>
    </row>
    <row r="134" spans="1:44" ht="12.75">
      <c r="A134" s="6">
        <v>124</v>
      </c>
      <c r="B134" s="80">
        <v>75</v>
      </c>
      <c r="C134" s="81" t="s">
        <v>122</v>
      </c>
      <c r="D134" s="43">
        <v>2576.2</v>
      </c>
      <c r="E134" s="85">
        <v>0.0013807934166578661</v>
      </c>
      <c r="F134" s="82">
        <v>17.598619206583344</v>
      </c>
      <c r="G134" s="82">
        <v>17.6</v>
      </c>
      <c r="H134" s="82">
        <v>544050.7535999999</v>
      </c>
      <c r="I134" s="5">
        <v>1.86</v>
      </c>
      <c r="J134" s="58">
        <v>57500.784</v>
      </c>
      <c r="K134" s="82">
        <v>0.32</v>
      </c>
      <c r="L134" s="58">
        <v>9892.608</v>
      </c>
      <c r="M134" s="43">
        <v>0.06</v>
      </c>
      <c r="N134" s="58">
        <v>1854.8639999999996</v>
      </c>
      <c r="O134" s="83"/>
      <c r="P134" s="58">
        <v>0</v>
      </c>
      <c r="Q134" s="12">
        <v>0.93</v>
      </c>
      <c r="R134" s="58">
        <v>28750.392</v>
      </c>
      <c r="S134" s="82">
        <v>0.09</v>
      </c>
      <c r="T134" s="58">
        <v>2782.296</v>
      </c>
      <c r="U134" s="82">
        <v>3.84</v>
      </c>
      <c r="V134" s="58">
        <v>118711.29600000003</v>
      </c>
      <c r="W134" s="85">
        <v>0.5046192065833398</v>
      </c>
      <c r="X134" s="58">
        <v>15600</v>
      </c>
      <c r="Y134" s="82"/>
      <c r="Z134" s="58">
        <v>0</v>
      </c>
      <c r="AA134" s="58"/>
      <c r="AB134" s="58"/>
      <c r="AC134" s="169">
        <v>5.24</v>
      </c>
      <c r="AD134" s="58">
        <v>161991.456</v>
      </c>
      <c r="AE134" s="84">
        <v>0</v>
      </c>
      <c r="AF134" s="12">
        <v>0</v>
      </c>
      <c r="AG134" s="84"/>
      <c r="AH134" s="12">
        <v>0</v>
      </c>
      <c r="AI134" s="82"/>
      <c r="AJ134" s="64">
        <v>0</v>
      </c>
      <c r="AK134" s="85">
        <v>0.902</v>
      </c>
      <c r="AL134" s="66">
        <v>27884.7888</v>
      </c>
      <c r="AM134" s="56">
        <v>2.662</v>
      </c>
      <c r="AN134" s="66">
        <v>82294.13279999999</v>
      </c>
      <c r="AO134" s="17">
        <v>1.19</v>
      </c>
      <c r="AP134" s="74">
        <v>1.03</v>
      </c>
      <c r="AQ134" s="74">
        <v>0.16</v>
      </c>
      <c r="AR134" s="74">
        <v>36788.13599999999</v>
      </c>
    </row>
    <row r="135" spans="1:44" ht="12.75">
      <c r="A135" s="6">
        <v>125</v>
      </c>
      <c r="B135" s="80">
        <v>76</v>
      </c>
      <c r="C135" s="81" t="s">
        <v>235</v>
      </c>
      <c r="D135" s="43">
        <v>1713.4</v>
      </c>
      <c r="E135" s="85">
        <v>-0.004000000000001336</v>
      </c>
      <c r="F135" s="82">
        <v>17.604000000000003</v>
      </c>
      <c r="G135" s="82">
        <v>17.6</v>
      </c>
      <c r="H135" s="82">
        <v>361952.32320000004</v>
      </c>
      <c r="I135" s="112">
        <v>1.7</v>
      </c>
      <c r="J135" s="58">
        <v>34953.36</v>
      </c>
      <c r="K135" s="82">
        <v>0.32</v>
      </c>
      <c r="L135" s="58">
        <v>6579.456</v>
      </c>
      <c r="M135" s="43">
        <v>0.16</v>
      </c>
      <c r="N135" s="58">
        <v>3289.728</v>
      </c>
      <c r="O135" s="82"/>
      <c r="P135" s="58">
        <v>0</v>
      </c>
      <c r="Q135" s="43">
        <v>0.93</v>
      </c>
      <c r="R135" s="58">
        <v>19121.544</v>
      </c>
      <c r="S135" s="83">
        <v>0.09</v>
      </c>
      <c r="T135" s="58">
        <v>1850.4719999999998</v>
      </c>
      <c r="U135" s="82">
        <v>3.25</v>
      </c>
      <c r="V135" s="58">
        <v>66822.6</v>
      </c>
      <c r="W135" s="38"/>
      <c r="X135" s="58"/>
      <c r="Y135" s="58"/>
      <c r="Z135" s="58">
        <v>0</v>
      </c>
      <c r="AA135" s="58"/>
      <c r="AB135" s="58"/>
      <c r="AC135" s="169">
        <v>6.4</v>
      </c>
      <c r="AD135" s="58">
        <v>131589.12</v>
      </c>
      <c r="AE135" s="84"/>
      <c r="AF135" s="12">
        <v>0</v>
      </c>
      <c r="AG135" s="84"/>
      <c r="AH135" s="12">
        <v>0</v>
      </c>
      <c r="AI135" s="82"/>
      <c r="AJ135" s="64">
        <v>0</v>
      </c>
      <c r="AK135" s="85">
        <v>0.902</v>
      </c>
      <c r="AL135" s="66">
        <v>18545.8416</v>
      </c>
      <c r="AM135" s="56">
        <v>2.662</v>
      </c>
      <c r="AN135" s="66">
        <v>54732.8496</v>
      </c>
      <c r="AO135" s="17">
        <v>1.19</v>
      </c>
      <c r="AP135" s="74">
        <v>1.03</v>
      </c>
      <c r="AQ135" s="74">
        <v>0.16</v>
      </c>
      <c r="AR135" s="74">
        <v>24467.352</v>
      </c>
    </row>
    <row r="136" spans="1:44" ht="12.75">
      <c r="A136" s="6">
        <v>126</v>
      </c>
      <c r="B136" s="80">
        <v>77</v>
      </c>
      <c r="C136" s="43" t="s">
        <v>253</v>
      </c>
      <c r="D136" s="168">
        <v>1466</v>
      </c>
      <c r="E136" s="85">
        <v>-0.004000000000001336</v>
      </c>
      <c r="F136" s="82">
        <v>17.604000000000003</v>
      </c>
      <c r="G136" s="82">
        <v>17.6</v>
      </c>
      <c r="H136" s="82">
        <v>309689.568</v>
      </c>
      <c r="I136" s="112">
        <v>1.83</v>
      </c>
      <c r="J136" s="58">
        <v>32193.36</v>
      </c>
      <c r="K136" s="82">
        <v>0.32</v>
      </c>
      <c r="L136" s="58">
        <v>5629.44</v>
      </c>
      <c r="M136" s="83">
        <v>0.04</v>
      </c>
      <c r="N136" s="58">
        <v>703.68</v>
      </c>
      <c r="O136" s="83"/>
      <c r="P136" s="58">
        <v>0</v>
      </c>
      <c r="Q136" s="43">
        <v>0.93</v>
      </c>
      <c r="R136" s="58">
        <v>16360.56</v>
      </c>
      <c r="S136" s="83">
        <v>0.09</v>
      </c>
      <c r="T136" s="58">
        <v>1583.28</v>
      </c>
      <c r="U136" s="82">
        <v>4</v>
      </c>
      <c r="V136" s="58">
        <v>70368</v>
      </c>
      <c r="W136" s="38"/>
      <c r="X136" s="58"/>
      <c r="Y136" s="82"/>
      <c r="Z136" s="58">
        <v>0</v>
      </c>
      <c r="AA136" s="58"/>
      <c r="AB136" s="58"/>
      <c r="AC136" s="169">
        <v>5.64</v>
      </c>
      <c r="AD136" s="58">
        <v>99218.88</v>
      </c>
      <c r="AE136" s="84">
        <v>0</v>
      </c>
      <c r="AF136" s="12">
        <v>0</v>
      </c>
      <c r="AG136" s="84"/>
      <c r="AH136" s="12">
        <v>0</v>
      </c>
      <c r="AI136" s="82"/>
      <c r="AJ136" s="64">
        <v>0</v>
      </c>
      <c r="AK136" s="85">
        <v>0.902</v>
      </c>
      <c r="AL136" s="66">
        <v>15867.984</v>
      </c>
      <c r="AM136" s="56">
        <v>2.662</v>
      </c>
      <c r="AN136" s="66">
        <v>46829.903999999995</v>
      </c>
      <c r="AO136" s="17">
        <v>1.19</v>
      </c>
      <c r="AP136" s="74">
        <v>1.03</v>
      </c>
      <c r="AQ136" s="74">
        <v>0.16</v>
      </c>
      <c r="AR136" s="74">
        <v>20934.48</v>
      </c>
    </row>
    <row r="137" spans="1:44" ht="12.75">
      <c r="A137" s="6">
        <v>127</v>
      </c>
      <c r="B137" s="80">
        <v>78</v>
      </c>
      <c r="C137" s="81" t="s">
        <v>227</v>
      </c>
      <c r="D137" s="43">
        <v>1709.4</v>
      </c>
      <c r="E137" s="85">
        <v>-0.004000000000001336</v>
      </c>
      <c r="F137" s="82">
        <v>17.604000000000003</v>
      </c>
      <c r="G137" s="82">
        <v>17.6</v>
      </c>
      <c r="H137" s="82">
        <v>361107.3312000001</v>
      </c>
      <c r="I137" s="112">
        <v>1.83</v>
      </c>
      <c r="J137" s="58">
        <v>37538.424</v>
      </c>
      <c r="K137" s="82">
        <v>0.32</v>
      </c>
      <c r="L137" s="58">
        <v>6564.0960000000005</v>
      </c>
      <c r="M137" s="43">
        <v>0.07</v>
      </c>
      <c r="N137" s="58">
        <v>1435.8960000000002</v>
      </c>
      <c r="O137" s="82"/>
      <c r="P137" s="58">
        <v>0</v>
      </c>
      <c r="Q137" s="43">
        <v>0.93</v>
      </c>
      <c r="R137" s="58">
        <v>19076.904000000002</v>
      </c>
      <c r="S137" s="83">
        <v>0.09</v>
      </c>
      <c r="T137" s="58">
        <v>1846.152</v>
      </c>
      <c r="U137" s="82">
        <v>4</v>
      </c>
      <c r="V137" s="58">
        <v>82051.2</v>
      </c>
      <c r="W137" s="38"/>
      <c r="X137" s="58"/>
      <c r="Y137" s="82"/>
      <c r="Z137" s="58">
        <v>0</v>
      </c>
      <c r="AA137" s="58"/>
      <c r="AB137" s="58"/>
      <c r="AC137" s="169">
        <v>5.61</v>
      </c>
      <c r="AD137" s="58">
        <v>115076.808</v>
      </c>
      <c r="AE137" s="84"/>
      <c r="AF137" s="12">
        <v>0</v>
      </c>
      <c r="AG137" s="84"/>
      <c r="AH137" s="12">
        <v>0</v>
      </c>
      <c r="AI137" s="82"/>
      <c r="AJ137" s="64">
        <v>0</v>
      </c>
      <c r="AK137" s="85">
        <v>0.902</v>
      </c>
      <c r="AL137" s="66">
        <v>18502.5456</v>
      </c>
      <c r="AM137" s="56">
        <v>2.662</v>
      </c>
      <c r="AN137" s="66">
        <v>54605.0736</v>
      </c>
      <c r="AO137" s="17">
        <v>1.19</v>
      </c>
      <c r="AP137" s="74">
        <v>1.03</v>
      </c>
      <c r="AQ137" s="74">
        <v>0.16</v>
      </c>
      <c r="AR137" s="74">
        <v>24410.232</v>
      </c>
    </row>
    <row r="138" spans="1:44" ht="12.75">
      <c r="A138" s="6">
        <v>128</v>
      </c>
      <c r="B138" s="80">
        <v>79</v>
      </c>
      <c r="C138" s="81" t="s">
        <v>228</v>
      </c>
      <c r="D138" s="43">
        <v>2385.7</v>
      </c>
      <c r="E138" s="85">
        <v>-0.004000000000001336</v>
      </c>
      <c r="F138" s="82">
        <v>19.394000000000002</v>
      </c>
      <c r="G138" s="82">
        <v>19.39</v>
      </c>
      <c r="H138" s="82">
        <v>508244.7565999999</v>
      </c>
      <c r="I138" s="112">
        <v>1.83</v>
      </c>
      <c r="J138" s="58">
        <v>52389.972</v>
      </c>
      <c r="K138" s="82">
        <v>0.32</v>
      </c>
      <c r="L138" s="58">
        <v>9161.088</v>
      </c>
      <c r="M138" s="43">
        <v>0.07</v>
      </c>
      <c r="N138" s="58">
        <v>2003.9879999999998</v>
      </c>
      <c r="O138" s="82"/>
      <c r="P138" s="58">
        <v>0</v>
      </c>
      <c r="Q138" s="43">
        <v>0.93</v>
      </c>
      <c r="R138" s="58">
        <v>26624.412</v>
      </c>
      <c r="S138" s="83">
        <v>0.09</v>
      </c>
      <c r="T138" s="58">
        <v>2576.5559999999996</v>
      </c>
      <c r="U138" s="82">
        <v>4</v>
      </c>
      <c r="V138" s="58">
        <v>114513.6</v>
      </c>
      <c r="W138" s="38"/>
      <c r="X138" s="58"/>
      <c r="Y138" s="82"/>
      <c r="Z138" s="58">
        <v>0</v>
      </c>
      <c r="AA138" s="58"/>
      <c r="AB138" s="58"/>
      <c r="AC138" s="169">
        <v>5.61</v>
      </c>
      <c r="AD138" s="58">
        <v>160605.324</v>
      </c>
      <c r="AE138" s="84"/>
      <c r="AF138" s="12">
        <v>0</v>
      </c>
      <c r="AG138" s="84"/>
      <c r="AH138" s="12">
        <v>0</v>
      </c>
      <c r="AI138" s="82">
        <v>1.79</v>
      </c>
      <c r="AJ138" s="64">
        <v>4270.402999999999</v>
      </c>
      <c r="AK138" s="85">
        <v>0.902</v>
      </c>
      <c r="AL138" s="66">
        <v>25822.816799999997</v>
      </c>
      <c r="AM138" s="56">
        <v>2.662</v>
      </c>
      <c r="AN138" s="66">
        <v>76208.8008</v>
      </c>
      <c r="AO138" s="17">
        <v>1.19</v>
      </c>
      <c r="AP138" s="74">
        <v>1.03</v>
      </c>
      <c r="AQ138" s="74">
        <v>0.16</v>
      </c>
      <c r="AR138" s="74">
        <v>34067.795999999995</v>
      </c>
    </row>
    <row r="139" spans="1:44" ht="12.75">
      <c r="A139" s="6">
        <v>129</v>
      </c>
      <c r="B139" s="80">
        <v>80</v>
      </c>
      <c r="C139" s="81" t="s">
        <v>214</v>
      </c>
      <c r="D139" s="80">
        <v>2017.1</v>
      </c>
      <c r="E139" s="85">
        <v>-0.004000000000001336</v>
      </c>
      <c r="F139" s="82">
        <v>17.604000000000003</v>
      </c>
      <c r="G139" s="82">
        <v>17.6</v>
      </c>
      <c r="H139" s="82">
        <v>426108.3407999999</v>
      </c>
      <c r="I139" s="5">
        <v>1.86</v>
      </c>
      <c r="J139" s="58">
        <v>45021.672</v>
      </c>
      <c r="K139" s="82">
        <v>0.32</v>
      </c>
      <c r="L139" s="58">
        <v>7745.664</v>
      </c>
      <c r="M139" s="43">
        <v>0.06</v>
      </c>
      <c r="N139" s="58">
        <v>1452.312</v>
      </c>
      <c r="O139" s="83">
        <v>0.05</v>
      </c>
      <c r="P139" s="58">
        <v>1210.26</v>
      </c>
      <c r="Q139" s="12">
        <v>0.93</v>
      </c>
      <c r="R139" s="58">
        <v>22510.836</v>
      </c>
      <c r="S139" s="82">
        <v>0.09</v>
      </c>
      <c r="T139" s="58">
        <v>2178.468</v>
      </c>
      <c r="U139" s="82">
        <v>3.99</v>
      </c>
      <c r="V139" s="58">
        <v>96578.748</v>
      </c>
      <c r="W139" s="38"/>
      <c r="X139" s="58"/>
      <c r="Y139" s="82"/>
      <c r="Z139" s="58">
        <v>0</v>
      </c>
      <c r="AA139" s="58"/>
      <c r="AB139" s="58"/>
      <c r="AC139" s="169">
        <v>5.55</v>
      </c>
      <c r="AD139" s="58">
        <v>134338.86</v>
      </c>
      <c r="AE139" s="84">
        <v>0</v>
      </c>
      <c r="AF139" s="12">
        <v>0</v>
      </c>
      <c r="AG139" s="84"/>
      <c r="AH139" s="12">
        <v>0</v>
      </c>
      <c r="AI139" s="82"/>
      <c r="AJ139" s="64">
        <v>0</v>
      </c>
      <c r="AK139" s="85">
        <v>0.902</v>
      </c>
      <c r="AL139" s="66">
        <v>21833.0904</v>
      </c>
      <c r="AM139" s="56">
        <v>2.662</v>
      </c>
      <c r="AN139" s="66">
        <v>64434.2424</v>
      </c>
      <c r="AO139" s="17">
        <v>1.19</v>
      </c>
      <c r="AP139" s="74">
        <v>1.03</v>
      </c>
      <c r="AQ139" s="74">
        <v>0.16</v>
      </c>
      <c r="AR139" s="74">
        <v>28804.187999999995</v>
      </c>
    </row>
    <row r="140" spans="1:44" ht="12.75">
      <c r="A140" s="6">
        <v>130</v>
      </c>
      <c r="B140" s="80">
        <v>81</v>
      </c>
      <c r="C140" s="81" t="s">
        <v>215</v>
      </c>
      <c r="D140" s="168">
        <v>2061.6</v>
      </c>
      <c r="E140" s="85">
        <v>0.0009398525417125825</v>
      </c>
      <c r="F140" s="82">
        <v>17.59906014745829</v>
      </c>
      <c r="G140" s="82">
        <v>17.6</v>
      </c>
      <c r="H140" s="82">
        <v>435386.6687999999</v>
      </c>
      <c r="I140" s="5">
        <v>1.86</v>
      </c>
      <c r="J140" s="58">
        <v>46014.912</v>
      </c>
      <c r="K140" s="82">
        <v>0.32</v>
      </c>
      <c r="L140" s="58">
        <v>7916.544</v>
      </c>
      <c r="M140" s="43">
        <v>0.06</v>
      </c>
      <c r="N140" s="58">
        <v>1484.3519999999999</v>
      </c>
      <c r="O140" s="83"/>
      <c r="P140" s="58">
        <v>0</v>
      </c>
      <c r="Q140" s="12">
        <v>0.93</v>
      </c>
      <c r="R140" s="58">
        <v>23007.456</v>
      </c>
      <c r="S140" s="82">
        <v>0.09</v>
      </c>
      <c r="T140" s="58">
        <v>2226.528</v>
      </c>
      <c r="U140" s="82">
        <v>3.84</v>
      </c>
      <c r="V140" s="58">
        <v>94998.528</v>
      </c>
      <c r="W140" s="85">
        <v>0.4850601474582848</v>
      </c>
      <c r="X140" s="58">
        <v>12000</v>
      </c>
      <c r="Y140" s="82"/>
      <c r="Z140" s="58">
        <v>0</v>
      </c>
      <c r="AA140" s="58"/>
      <c r="AB140" s="58"/>
      <c r="AC140" s="169">
        <v>5.26</v>
      </c>
      <c r="AD140" s="58">
        <v>130128.192</v>
      </c>
      <c r="AE140" s="84">
        <v>0</v>
      </c>
      <c r="AF140" s="12">
        <v>0</v>
      </c>
      <c r="AG140" s="84"/>
      <c r="AH140" s="12">
        <v>0</v>
      </c>
      <c r="AI140" s="82"/>
      <c r="AJ140" s="64">
        <v>0</v>
      </c>
      <c r="AK140" s="85">
        <v>0.902</v>
      </c>
      <c r="AL140" s="66">
        <v>22314.7584</v>
      </c>
      <c r="AM140" s="56">
        <v>2.662</v>
      </c>
      <c r="AN140" s="66">
        <v>65855.75039999999</v>
      </c>
      <c r="AO140" s="17">
        <v>1.19</v>
      </c>
      <c r="AP140" s="74">
        <v>1.03</v>
      </c>
      <c r="AQ140" s="74">
        <v>0.16</v>
      </c>
      <c r="AR140" s="74">
        <v>29439.647999999994</v>
      </c>
    </row>
    <row r="141" spans="1:44" ht="12.75">
      <c r="A141" s="6">
        <v>131</v>
      </c>
      <c r="B141" s="80">
        <v>82</v>
      </c>
      <c r="C141" s="81" t="s">
        <v>129</v>
      </c>
      <c r="D141" s="80">
        <v>2039.1</v>
      </c>
      <c r="E141" s="85">
        <v>-0.001123731057823818</v>
      </c>
      <c r="F141" s="82">
        <v>17.601123731057825</v>
      </c>
      <c r="G141" s="82">
        <v>17.6</v>
      </c>
      <c r="H141" s="82">
        <v>430685.41679999995</v>
      </c>
      <c r="I141" s="5">
        <v>1.86</v>
      </c>
      <c r="J141" s="58">
        <v>45512.712</v>
      </c>
      <c r="K141" s="82">
        <v>0.32</v>
      </c>
      <c r="L141" s="58">
        <v>7830.143999999999</v>
      </c>
      <c r="M141" s="43">
        <v>0.06</v>
      </c>
      <c r="N141" s="58">
        <v>1468.1519999999998</v>
      </c>
      <c r="O141" s="82">
        <v>0.05</v>
      </c>
      <c r="P141" s="58">
        <v>1223.46</v>
      </c>
      <c r="Q141" s="12">
        <v>0.93</v>
      </c>
      <c r="R141" s="58">
        <v>22756.356</v>
      </c>
      <c r="S141" s="82">
        <v>0.09</v>
      </c>
      <c r="T141" s="58">
        <v>2202.2279999999996</v>
      </c>
      <c r="U141" s="82">
        <v>3.79</v>
      </c>
      <c r="V141" s="58">
        <v>92738.26800000001</v>
      </c>
      <c r="W141" s="85">
        <v>0.14712373105781965</v>
      </c>
      <c r="X141" s="58">
        <v>3600</v>
      </c>
      <c r="Y141" s="82"/>
      <c r="Z141" s="58">
        <v>0</v>
      </c>
      <c r="AA141" s="58"/>
      <c r="AB141" s="58"/>
      <c r="AC141" s="169">
        <v>5.6</v>
      </c>
      <c r="AD141" s="58">
        <v>137027.52</v>
      </c>
      <c r="AE141" s="12">
        <v>0</v>
      </c>
      <c r="AF141" s="12">
        <v>0</v>
      </c>
      <c r="AG141" s="12"/>
      <c r="AH141" s="12">
        <v>0</v>
      </c>
      <c r="AI141" s="82"/>
      <c r="AJ141" s="64">
        <v>0</v>
      </c>
      <c r="AK141" s="85">
        <v>0.902</v>
      </c>
      <c r="AL141" s="66">
        <v>22071.218399999998</v>
      </c>
      <c r="AM141" s="56">
        <v>2.662</v>
      </c>
      <c r="AN141" s="66">
        <v>65137.01039999999</v>
      </c>
      <c r="AO141" s="17">
        <v>1.19</v>
      </c>
      <c r="AP141" s="74">
        <v>1.03</v>
      </c>
      <c r="AQ141" s="74">
        <v>0.16</v>
      </c>
      <c r="AR141" s="74">
        <v>29118.347999999998</v>
      </c>
    </row>
    <row r="142" spans="1:44" ht="12.75">
      <c r="A142" s="6">
        <v>132</v>
      </c>
      <c r="B142" s="80">
        <v>83</v>
      </c>
      <c r="C142" s="81" t="s">
        <v>190</v>
      </c>
      <c r="D142" s="80">
        <v>1306.1</v>
      </c>
      <c r="E142" s="85">
        <v>-0.003691447821761784</v>
      </c>
      <c r="F142" s="82">
        <v>17.603691447821763</v>
      </c>
      <c r="G142" s="82">
        <v>17.6</v>
      </c>
      <c r="H142" s="82">
        <v>275906.17679999996</v>
      </c>
      <c r="I142" s="5">
        <v>1.86</v>
      </c>
      <c r="J142" s="58">
        <v>29152.152000000002</v>
      </c>
      <c r="K142" s="82">
        <v>0.32</v>
      </c>
      <c r="L142" s="58">
        <v>5015.424</v>
      </c>
      <c r="M142" s="43">
        <v>0.06</v>
      </c>
      <c r="N142" s="58">
        <v>940.3919999999998</v>
      </c>
      <c r="O142" s="82"/>
      <c r="P142" s="58">
        <v>0</v>
      </c>
      <c r="Q142" s="12">
        <v>0.93</v>
      </c>
      <c r="R142" s="58">
        <v>14576.076000000001</v>
      </c>
      <c r="S142" s="82">
        <v>0.09</v>
      </c>
      <c r="T142" s="58">
        <v>1410.588</v>
      </c>
      <c r="U142" s="82">
        <v>3.2</v>
      </c>
      <c r="V142" s="58">
        <v>50154.24</v>
      </c>
      <c r="W142" s="85">
        <v>0.22969144782175946</v>
      </c>
      <c r="X142" s="58">
        <v>3600</v>
      </c>
      <c r="Y142" s="58"/>
      <c r="Z142" s="58">
        <v>0</v>
      </c>
      <c r="AA142" s="58"/>
      <c r="AB142" s="58"/>
      <c r="AC142" s="169">
        <v>6.16</v>
      </c>
      <c r="AD142" s="58">
        <v>96546.912</v>
      </c>
      <c r="AE142" s="12">
        <v>0</v>
      </c>
      <c r="AF142" s="12">
        <v>0</v>
      </c>
      <c r="AG142" s="12"/>
      <c r="AH142" s="12">
        <v>0</v>
      </c>
      <c r="AI142" s="82"/>
      <c r="AJ142" s="64">
        <v>0</v>
      </c>
      <c r="AK142" s="85">
        <v>0.902</v>
      </c>
      <c r="AL142" s="66">
        <v>14137.2264</v>
      </c>
      <c r="AM142" s="56">
        <v>2.662</v>
      </c>
      <c r="AN142" s="66">
        <v>41722.058399999994</v>
      </c>
      <c r="AO142" s="17">
        <v>1.19</v>
      </c>
      <c r="AP142" s="74">
        <v>1.03</v>
      </c>
      <c r="AQ142" s="74">
        <v>0.16</v>
      </c>
      <c r="AR142" s="74">
        <v>18651.107999999997</v>
      </c>
    </row>
    <row r="143" spans="1:44" ht="12.75">
      <c r="A143" s="6">
        <v>133</v>
      </c>
      <c r="B143" s="80">
        <v>84</v>
      </c>
      <c r="C143" s="81" t="s">
        <v>30</v>
      </c>
      <c r="D143" s="80">
        <v>4282.7</v>
      </c>
      <c r="E143" s="85">
        <v>0.0024531720643494737</v>
      </c>
      <c r="F143" s="82">
        <v>17.597546827935652</v>
      </c>
      <c r="G143" s="82">
        <v>17.6</v>
      </c>
      <c r="H143" s="82">
        <v>904380.1656</v>
      </c>
      <c r="I143" s="5">
        <v>1.86</v>
      </c>
      <c r="J143" s="58">
        <v>95589.864</v>
      </c>
      <c r="K143" s="82">
        <v>0.32</v>
      </c>
      <c r="L143" s="58">
        <v>16445.568</v>
      </c>
      <c r="M143" s="43">
        <v>0.06</v>
      </c>
      <c r="N143" s="58">
        <v>3083.544</v>
      </c>
      <c r="O143" s="82">
        <v>0.05</v>
      </c>
      <c r="P143" s="58">
        <v>2569.62</v>
      </c>
      <c r="Q143" s="12">
        <v>0.93</v>
      </c>
      <c r="R143" s="58">
        <v>47794.932</v>
      </c>
      <c r="S143" s="82">
        <v>0.09</v>
      </c>
      <c r="T143" s="58">
        <v>4625.316</v>
      </c>
      <c r="U143" s="82">
        <v>3.24</v>
      </c>
      <c r="V143" s="58">
        <v>166511.37600000002</v>
      </c>
      <c r="W143" s="85">
        <v>0.3035468279356481</v>
      </c>
      <c r="X143" s="58">
        <v>15600</v>
      </c>
      <c r="Y143" s="58"/>
      <c r="Z143" s="58">
        <v>0</v>
      </c>
      <c r="AA143" s="58"/>
      <c r="AB143" s="58"/>
      <c r="AC143" s="169">
        <v>5.99</v>
      </c>
      <c r="AD143" s="58">
        <v>307840.476</v>
      </c>
      <c r="AE143" s="12">
        <v>0</v>
      </c>
      <c r="AF143" s="12">
        <v>0</v>
      </c>
      <c r="AG143" s="12"/>
      <c r="AH143" s="12">
        <v>0</v>
      </c>
      <c r="AI143" s="82"/>
      <c r="AJ143" s="64">
        <v>0</v>
      </c>
      <c r="AK143" s="85">
        <v>0.902</v>
      </c>
      <c r="AL143" s="66">
        <v>46355.9448</v>
      </c>
      <c r="AM143" s="56">
        <v>2.662</v>
      </c>
      <c r="AN143" s="66">
        <v>136806.5688</v>
      </c>
      <c r="AO143" s="17">
        <v>1.19</v>
      </c>
      <c r="AP143" s="74">
        <v>1.03</v>
      </c>
      <c r="AQ143" s="74">
        <v>0.16</v>
      </c>
      <c r="AR143" s="74">
        <v>61156.95599999999</v>
      </c>
    </row>
    <row r="144" spans="2:44" ht="12.75">
      <c r="B144" s="38"/>
      <c r="C144" s="163" t="s">
        <v>68</v>
      </c>
      <c r="D144" s="175">
        <v>136958.51</v>
      </c>
      <c r="E144" s="85"/>
      <c r="F144" s="82">
        <v>178.75007123872825</v>
      </c>
      <c r="G144" s="82"/>
      <c r="H144" s="175">
        <v>29518582.684679996</v>
      </c>
      <c r="I144" s="176">
        <v>0.10264437434431813</v>
      </c>
      <c r="J144" s="175">
        <v>3029916.4512000005</v>
      </c>
      <c r="K144" s="177">
        <v>3.84</v>
      </c>
      <c r="L144" s="175">
        <v>525920.6784</v>
      </c>
      <c r="M144" s="171">
        <v>0.6799451833989724</v>
      </c>
      <c r="N144" s="175">
        <v>93124.27919999999</v>
      </c>
      <c r="O144" s="165">
        <v>0.3514768669723407</v>
      </c>
      <c r="P144" s="175">
        <v>48137.748</v>
      </c>
      <c r="Q144" s="177">
        <v>11.16</v>
      </c>
      <c r="R144" s="175">
        <v>1528456.9716000003</v>
      </c>
      <c r="S144" s="177">
        <v>1.08</v>
      </c>
      <c r="T144" s="175">
        <v>147915.19079999998</v>
      </c>
      <c r="U144" s="171">
        <v>49.391743826652295</v>
      </c>
      <c r="V144" s="175">
        <v>6764619.640799997</v>
      </c>
      <c r="W144" s="171">
        <v>4.578028776744139</v>
      </c>
      <c r="X144" s="175">
        <v>627000</v>
      </c>
      <c r="Y144" s="171">
        <v>0.06239875127146169</v>
      </c>
      <c r="Z144" s="175">
        <v>8546.04</v>
      </c>
      <c r="AA144" s="70"/>
      <c r="AB144" s="175">
        <v>0</v>
      </c>
      <c r="AC144" s="171">
        <v>62.46352692651226</v>
      </c>
      <c r="AD144" s="175">
        <v>8554911.5772</v>
      </c>
      <c r="AE144" s="177">
        <v>2.2080783443102585</v>
      </c>
      <c r="AF144" s="175">
        <v>302415.12</v>
      </c>
      <c r="AG144" s="171"/>
      <c r="AH144" s="175">
        <v>65613.312</v>
      </c>
      <c r="AI144" s="171">
        <v>0.06422818852220281</v>
      </c>
      <c r="AJ144" s="175">
        <v>8796.597</v>
      </c>
      <c r="AK144" s="177">
        <v>10.824000000000002</v>
      </c>
      <c r="AL144" s="175">
        <v>1482438.9122400002</v>
      </c>
      <c r="AM144" s="165">
        <v>31.94399999999999</v>
      </c>
      <c r="AN144" s="175">
        <v>4375002.643439999</v>
      </c>
      <c r="AO144" s="17">
        <v>0</v>
      </c>
      <c r="AP144" s="74"/>
      <c r="AQ144" s="74"/>
      <c r="AR144" s="175">
        <v>1955767.5227999997</v>
      </c>
    </row>
    <row r="145" spans="1:44" ht="12.75">
      <c r="A145" s="6">
        <v>134</v>
      </c>
      <c r="B145" s="80">
        <v>1</v>
      </c>
      <c r="C145" s="81" t="s">
        <v>224</v>
      </c>
      <c r="D145" s="43">
        <v>2644.2</v>
      </c>
      <c r="E145" s="85">
        <v>0.0025441343317460507</v>
      </c>
      <c r="F145" s="82">
        <v>17.597455865668255</v>
      </c>
      <c r="G145" s="82">
        <v>17.6</v>
      </c>
      <c r="H145" s="82">
        <v>558374.3136</v>
      </c>
      <c r="I145" s="5">
        <v>1.86</v>
      </c>
      <c r="J145" s="58">
        <v>59018.543999999994</v>
      </c>
      <c r="K145" s="82">
        <v>0.32</v>
      </c>
      <c r="L145" s="58">
        <v>10153.728</v>
      </c>
      <c r="M145" s="43">
        <v>0.06</v>
      </c>
      <c r="N145" s="58">
        <v>1903.8239999999998</v>
      </c>
      <c r="O145" s="83"/>
      <c r="P145" s="58">
        <v>0</v>
      </c>
      <c r="Q145" s="12">
        <v>0.93</v>
      </c>
      <c r="R145" s="58">
        <v>29509.271999999997</v>
      </c>
      <c r="S145" s="82">
        <v>0.09</v>
      </c>
      <c r="T145" s="58">
        <v>2855.736</v>
      </c>
      <c r="U145" s="82">
        <v>4.17</v>
      </c>
      <c r="V145" s="58">
        <v>132315.76799999998</v>
      </c>
      <c r="W145" s="85">
        <v>0.11345586566825505</v>
      </c>
      <c r="X145" s="58">
        <v>3600</v>
      </c>
      <c r="Y145" s="38"/>
      <c r="Z145" s="58">
        <v>0</v>
      </c>
      <c r="AA145" s="58"/>
      <c r="AB145" s="58"/>
      <c r="AC145" s="169">
        <v>5.3</v>
      </c>
      <c r="AD145" s="58">
        <v>168171.12</v>
      </c>
      <c r="AE145" s="84">
        <v>0</v>
      </c>
      <c r="AF145" s="12">
        <v>0</v>
      </c>
      <c r="AG145" s="84"/>
      <c r="AH145" s="12">
        <v>0</v>
      </c>
      <c r="AI145" s="82"/>
      <c r="AJ145" s="64">
        <v>0</v>
      </c>
      <c r="AK145" s="85">
        <v>0.902</v>
      </c>
      <c r="AL145" s="66">
        <v>28620.8208</v>
      </c>
      <c r="AM145" s="56">
        <v>2.662</v>
      </c>
      <c r="AN145" s="66">
        <v>84466.3248</v>
      </c>
      <c r="AO145" s="17">
        <v>1.19</v>
      </c>
      <c r="AP145" s="74">
        <v>1.03</v>
      </c>
      <c r="AQ145" s="74">
        <v>0.16</v>
      </c>
      <c r="AR145" s="74">
        <v>37759.17599999999</v>
      </c>
    </row>
    <row r="146" spans="1:44" ht="12.75">
      <c r="A146" s="6">
        <v>135</v>
      </c>
      <c r="B146" s="80">
        <v>2</v>
      </c>
      <c r="C146" s="81" t="s">
        <v>69</v>
      </c>
      <c r="D146" s="80">
        <v>2139.1</v>
      </c>
      <c r="E146" s="85">
        <v>-0.0017322238324517514</v>
      </c>
      <c r="F146" s="82">
        <v>17.601732223832453</v>
      </c>
      <c r="G146" s="82">
        <v>17.6</v>
      </c>
      <c r="H146" s="82">
        <v>451822.38479999994</v>
      </c>
      <c r="I146" s="5">
        <v>1.86</v>
      </c>
      <c r="J146" s="58">
        <v>47744.712</v>
      </c>
      <c r="K146" s="82">
        <v>0.32</v>
      </c>
      <c r="L146" s="58">
        <v>8214.144</v>
      </c>
      <c r="M146" s="43">
        <v>0.06</v>
      </c>
      <c r="N146" s="58">
        <v>1540.152</v>
      </c>
      <c r="O146" s="83"/>
      <c r="P146" s="58">
        <v>0</v>
      </c>
      <c r="Q146" s="12">
        <v>0.93</v>
      </c>
      <c r="R146" s="58">
        <v>23872.356</v>
      </c>
      <c r="S146" s="82">
        <v>0.09</v>
      </c>
      <c r="T146" s="58">
        <v>2310.2279999999996</v>
      </c>
      <c r="U146" s="82">
        <v>3.97</v>
      </c>
      <c r="V146" s="58">
        <v>101906.72399999999</v>
      </c>
      <c r="W146" s="85">
        <v>0.607732223832453</v>
      </c>
      <c r="X146" s="58">
        <v>15600</v>
      </c>
      <c r="Y146" s="38"/>
      <c r="Z146" s="58">
        <v>0</v>
      </c>
      <c r="AA146" s="58"/>
      <c r="AB146" s="58"/>
      <c r="AC146" s="169">
        <v>5.01</v>
      </c>
      <c r="AD146" s="58">
        <v>128602.692</v>
      </c>
      <c r="AE146" s="84">
        <v>0</v>
      </c>
      <c r="AF146" s="12">
        <v>0</v>
      </c>
      <c r="AG146" s="84"/>
      <c r="AH146" s="12">
        <v>0</v>
      </c>
      <c r="AI146" s="82"/>
      <c r="AJ146" s="64">
        <v>0</v>
      </c>
      <c r="AK146" s="85">
        <v>0.902</v>
      </c>
      <c r="AL146" s="66">
        <v>23153.6184</v>
      </c>
      <c r="AM146" s="56">
        <v>2.662</v>
      </c>
      <c r="AN146" s="66">
        <v>68331.4104</v>
      </c>
      <c r="AO146" s="17">
        <v>1.19</v>
      </c>
      <c r="AP146" s="74">
        <v>1.03</v>
      </c>
      <c r="AQ146" s="74">
        <v>0.16</v>
      </c>
      <c r="AR146" s="74">
        <v>30546.347999999998</v>
      </c>
    </row>
    <row r="147" spans="1:44" ht="12.75">
      <c r="A147" s="6">
        <v>136</v>
      </c>
      <c r="B147" s="80">
        <v>3</v>
      </c>
      <c r="C147" s="81" t="s">
        <v>70</v>
      </c>
      <c r="D147" s="168">
        <v>3534.8</v>
      </c>
      <c r="E147" s="85">
        <v>-0.001771868281092992</v>
      </c>
      <c r="F147" s="82">
        <v>17.601771868281094</v>
      </c>
      <c r="G147" s="82">
        <v>17.6</v>
      </c>
      <c r="H147" s="82">
        <v>746624.9184000001</v>
      </c>
      <c r="I147" s="5">
        <v>1.86</v>
      </c>
      <c r="J147" s="58">
        <v>78896.736</v>
      </c>
      <c r="K147" s="82">
        <v>0.32</v>
      </c>
      <c r="L147" s="58">
        <v>13573.632000000001</v>
      </c>
      <c r="M147" s="43">
        <v>0.06</v>
      </c>
      <c r="N147" s="58">
        <v>2545.056</v>
      </c>
      <c r="O147" s="83">
        <v>0.05</v>
      </c>
      <c r="P147" s="58">
        <v>2120.88</v>
      </c>
      <c r="Q147" s="12">
        <v>0.93</v>
      </c>
      <c r="R147" s="58">
        <v>39448.368</v>
      </c>
      <c r="S147" s="82">
        <v>0.09</v>
      </c>
      <c r="T147" s="58">
        <v>3817.584</v>
      </c>
      <c r="U147" s="82">
        <v>3.33</v>
      </c>
      <c r="V147" s="58">
        <v>141250.60799999998</v>
      </c>
      <c r="W147" s="85">
        <v>0.3677718682810909</v>
      </c>
      <c r="X147" s="58">
        <v>15600</v>
      </c>
      <c r="Y147" s="38"/>
      <c r="Z147" s="58">
        <v>0</v>
      </c>
      <c r="AA147" s="58"/>
      <c r="AB147" s="58"/>
      <c r="AC147" s="169">
        <v>5.84</v>
      </c>
      <c r="AD147" s="58">
        <v>247718.78399999999</v>
      </c>
      <c r="AE147" s="84">
        <v>0</v>
      </c>
      <c r="AF147" s="12">
        <v>0</v>
      </c>
      <c r="AG147" s="84"/>
      <c r="AH147" s="12">
        <v>0</v>
      </c>
      <c r="AI147" s="82"/>
      <c r="AJ147" s="64">
        <v>0</v>
      </c>
      <c r="AK147" s="85">
        <v>0.902</v>
      </c>
      <c r="AL147" s="66">
        <v>38260.675200000005</v>
      </c>
      <c r="AM147" s="56">
        <v>2.662</v>
      </c>
      <c r="AN147" s="66">
        <v>112915.6512</v>
      </c>
      <c r="AO147" s="17">
        <v>1.19</v>
      </c>
      <c r="AP147" s="74">
        <v>1.03</v>
      </c>
      <c r="AQ147" s="74">
        <v>0.16</v>
      </c>
      <c r="AR147" s="74">
        <v>50476.944</v>
      </c>
    </row>
    <row r="148" spans="1:44" ht="12.75">
      <c r="A148" s="6">
        <v>137</v>
      </c>
      <c r="B148" s="80">
        <v>4</v>
      </c>
      <c r="C148" s="81" t="s">
        <v>71</v>
      </c>
      <c r="D148" s="168">
        <v>2706.4</v>
      </c>
      <c r="E148" s="85">
        <v>-0.004342890925212117</v>
      </c>
      <c r="F148" s="82">
        <v>17.604342890925214</v>
      </c>
      <c r="G148" s="82">
        <v>17.6</v>
      </c>
      <c r="H148" s="82">
        <v>571732.7232</v>
      </c>
      <c r="I148" s="5">
        <v>1.86</v>
      </c>
      <c r="J148" s="58">
        <v>60406.848000000005</v>
      </c>
      <c r="K148" s="82">
        <v>0.32</v>
      </c>
      <c r="L148" s="58">
        <v>10392.576000000001</v>
      </c>
      <c r="M148" s="43">
        <v>0.06</v>
      </c>
      <c r="N148" s="58">
        <v>1948.6079999999997</v>
      </c>
      <c r="O148" s="83">
        <v>0.06</v>
      </c>
      <c r="P148" s="58">
        <v>1948.6079999999997</v>
      </c>
      <c r="Q148" s="12">
        <v>0.93</v>
      </c>
      <c r="R148" s="58">
        <v>30203.424000000003</v>
      </c>
      <c r="S148" s="82">
        <v>0.09</v>
      </c>
      <c r="T148" s="58">
        <v>2922.912</v>
      </c>
      <c r="U148" s="82">
        <v>3.81</v>
      </c>
      <c r="V148" s="58">
        <v>123736.60800000001</v>
      </c>
      <c r="W148" s="85">
        <v>0.4803428909252143</v>
      </c>
      <c r="X148" s="58">
        <v>15600</v>
      </c>
      <c r="Y148" s="38"/>
      <c r="Z148" s="58">
        <v>0</v>
      </c>
      <c r="AA148" s="58"/>
      <c r="AB148" s="58"/>
      <c r="AC148" s="169">
        <v>5.24</v>
      </c>
      <c r="AD148" s="58">
        <v>170178.43200000003</v>
      </c>
      <c r="AE148" s="84">
        <v>0</v>
      </c>
      <c r="AF148" s="12">
        <v>0</v>
      </c>
      <c r="AG148" s="84"/>
      <c r="AH148" s="12">
        <v>0</v>
      </c>
      <c r="AI148" s="82"/>
      <c r="AJ148" s="64">
        <v>0</v>
      </c>
      <c r="AK148" s="85">
        <v>0.902</v>
      </c>
      <c r="AL148" s="66">
        <v>29294.073600000003</v>
      </c>
      <c r="AM148" s="56">
        <v>2.662</v>
      </c>
      <c r="AN148" s="66">
        <v>86453.24160000001</v>
      </c>
      <c r="AO148" s="17">
        <v>1.19</v>
      </c>
      <c r="AP148" s="74">
        <v>1.03</v>
      </c>
      <c r="AQ148" s="74">
        <v>0.16</v>
      </c>
      <c r="AR148" s="74">
        <v>38647.392</v>
      </c>
    </row>
    <row r="149" spans="1:44" ht="12.75">
      <c r="A149" s="6">
        <v>138</v>
      </c>
      <c r="B149" s="80">
        <v>5</v>
      </c>
      <c r="C149" s="81" t="s">
        <v>72</v>
      </c>
      <c r="D149" s="80">
        <v>3071.5</v>
      </c>
      <c r="E149" s="85">
        <v>0.00042617613543782795</v>
      </c>
      <c r="F149" s="82">
        <v>17.599573823864564</v>
      </c>
      <c r="G149" s="82">
        <v>17.6</v>
      </c>
      <c r="H149" s="82">
        <v>648685.0920000001</v>
      </c>
      <c r="I149" s="5">
        <v>1.86</v>
      </c>
      <c r="J149" s="58">
        <v>68555.88</v>
      </c>
      <c r="K149" s="82">
        <v>0.32</v>
      </c>
      <c r="L149" s="58">
        <v>11794.56</v>
      </c>
      <c r="M149" s="43">
        <v>0.06</v>
      </c>
      <c r="N149" s="58">
        <v>2211.48</v>
      </c>
      <c r="O149" s="83">
        <v>0.1</v>
      </c>
      <c r="P149" s="58">
        <v>3685.8</v>
      </c>
      <c r="Q149" s="12">
        <v>0.93</v>
      </c>
      <c r="R149" s="58">
        <v>34277.94</v>
      </c>
      <c r="S149" s="82">
        <v>0.09</v>
      </c>
      <c r="T149" s="58">
        <v>3317.22</v>
      </c>
      <c r="U149" s="82">
        <v>4.68</v>
      </c>
      <c r="V149" s="58">
        <v>172495.44</v>
      </c>
      <c r="W149" s="85">
        <v>0.3255738238645613</v>
      </c>
      <c r="X149" s="58">
        <v>12000</v>
      </c>
      <c r="Y149" s="38"/>
      <c r="Z149" s="58">
        <v>0</v>
      </c>
      <c r="AA149" s="58"/>
      <c r="AB149" s="58"/>
      <c r="AC149" s="169">
        <v>4.48</v>
      </c>
      <c r="AD149" s="58">
        <v>165123.84</v>
      </c>
      <c r="AE149" s="84">
        <v>0</v>
      </c>
      <c r="AF149" s="12">
        <v>0</v>
      </c>
      <c r="AG149" s="84"/>
      <c r="AH149" s="12">
        <v>0</v>
      </c>
      <c r="AI149" s="82"/>
      <c r="AJ149" s="64">
        <v>0</v>
      </c>
      <c r="AK149" s="85">
        <v>0.902</v>
      </c>
      <c r="AL149" s="66">
        <v>33245.916</v>
      </c>
      <c r="AM149" s="56">
        <v>2.662</v>
      </c>
      <c r="AN149" s="66">
        <v>98115.996</v>
      </c>
      <c r="AO149" s="17">
        <v>1.19</v>
      </c>
      <c r="AP149" s="74">
        <v>1.03</v>
      </c>
      <c r="AQ149" s="74">
        <v>0.16</v>
      </c>
      <c r="AR149" s="74">
        <v>43861.02</v>
      </c>
    </row>
    <row r="150" spans="1:44" ht="12.75">
      <c r="A150" s="6">
        <v>139</v>
      </c>
      <c r="B150" s="80">
        <v>6</v>
      </c>
      <c r="C150" s="81" t="s">
        <v>73</v>
      </c>
      <c r="D150" s="80">
        <v>2034.4</v>
      </c>
      <c r="E150" s="85">
        <v>-0.0014636256390119229</v>
      </c>
      <c r="F150" s="82">
        <v>17.601463625639013</v>
      </c>
      <c r="G150" s="82">
        <v>17.6</v>
      </c>
      <c r="H150" s="82">
        <v>429701.01120000007</v>
      </c>
      <c r="I150" s="5">
        <v>1.86</v>
      </c>
      <c r="J150" s="58">
        <v>45407.808000000005</v>
      </c>
      <c r="K150" s="82">
        <v>0.32</v>
      </c>
      <c r="L150" s="58">
        <v>7812.0960000000005</v>
      </c>
      <c r="M150" s="43">
        <v>0.06</v>
      </c>
      <c r="N150" s="58">
        <v>1464.768</v>
      </c>
      <c r="O150" s="83">
        <v>0.05</v>
      </c>
      <c r="P150" s="58">
        <v>1220.64</v>
      </c>
      <c r="Q150" s="12">
        <v>0.93</v>
      </c>
      <c r="R150" s="58">
        <v>22703.904000000002</v>
      </c>
      <c r="S150" s="82">
        <v>0.09</v>
      </c>
      <c r="T150" s="58">
        <v>2197.152</v>
      </c>
      <c r="U150" s="82">
        <v>3.21</v>
      </c>
      <c r="V150" s="58">
        <v>78365.08800000002</v>
      </c>
      <c r="W150" s="85">
        <v>0.14746362563900903</v>
      </c>
      <c r="X150" s="58">
        <v>3600</v>
      </c>
      <c r="Y150" s="38"/>
      <c r="Z150" s="58">
        <v>0</v>
      </c>
      <c r="AA150" s="58"/>
      <c r="AB150" s="58"/>
      <c r="AC150" s="169">
        <v>6.18</v>
      </c>
      <c r="AD150" s="58">
        <v>150871.10400000002</v>
      </c>
      <c r="AE150" s="84">
        <v>0</v>
      </c>
      <c r="AF150" s="12">
        <v>0</v>
      </c>
      <c r="AG150" s="84"/>
      <c r="AH150" s="12">
        <v>0</v>
      </c>
      <c r="AI150" s="82"/>
      <c r="AJ150" s="64">
        <v>0</v>
      </c>
      <c r="AK150" s="85">
        <v>0.902</v>
      </c>
      <c r="AL150" s="66">
        <v>22020.3456</v>
      </c>
      <c r="AM150" s="56">
        <v>2.662</v>
      </c>
      <c r="AN150" s="66">
        <v>64986.8736</v>
      </c>
      <c r="AO150" s="17">
        <v>1.19</v>
      </c>
      <c r="AP150" s="74">
        <v>1.03</v>
      </c>
      <c r="AQ150" s="74">
        <v>0.16</v>
      </c>
      <c r="AR150" s="74">
        <v>29051.232000000004</v>
      </c>
    </row>
    <row r="151" spans="1:44" ht="12.75">
      <c r="A151" s="6">
        <v>140</v>
      </c>
      <c r="B151" s="80">
        <v>7</v>
      </c>
      <c r="C151" s="81" t="s">
        <v>74</v>
      </c>
      <c r="D151" s="80">
        <v>5114.4</v>
      </c>
      <c r="E151" s="85">
        <v>0.0018157359612089863</v>
      </c>
      <c r="F151" s="82">
        <v>17.598184264038792</v>
      </c>
      <c r="G151" s="82">
        <v>17.6</v>
      </c>
      <c r="H151" s="82">
        <v>1080049.8432</v>
      </c>
      <c r="I151" s="5">
        <v>1.86</v>
      </c>
      <c r="J151" s="58">
        <v>114153.408</v>
      </c>
      <c r="K151" s="82">
        <v>0.32</v>
      </c>
      <c r="L151" s="58">
        <v>19639.296</v>
      </c>
      <c r="M151" s="43">
        <v>0.06</v>
      </c>
      <c r="N151" s="58">
        <v>3682.3679999999995</v>
      </c>
      <c r="O151" s="83"/>
      <c r="P151" s="58">
        <v>0</v>
      </c>
      <c r="Q151" s="12">
        <v>0.93</v>
      </c>
      <c r="R151" s="58">
        <v>57076.704</v>
      </c>
      <c r="S151" s="82">
        <v>0.09</v>
      </c>
      <c r="T151" s="58">
        <v>5523.552</v>
      </c>
      <c r="U151" s="82">
        <v>3.83</v>
      </c>
      <c r="V151" s="58">
        <v>235057.82399999996</v>
      </c>
      <c r="W151" s="85">
        <v>0.25418426403879246</v>
      </c>
      <c r="X151" s="58">
        <v>15600</v>
      </c>
      <c r="Y151" s="38"/>
      <c r="Z151" s="58">
        <v>0</v>
      </c>
      <c r="AA151" s="58"/>
      <c r="AB151" s="58"/>
      <c r="AC151" s="169">
        <v>5.5</v>
      </c>
      <c r="AD151" s="58">
        <v>337550.4</v>
      </c>
      <c r="AE151" s="84">
        <v>0</v>
      </c>
      <c r="AF151" s="12">
        <v>0</v>
      </c>
      <c r="AG151" s="84"/>
      <c r="AH151" s="12">
        <v>0</v>
      </c>
      <c r="AI151" s="82"/>
      <c r="AJ151" s="64">
        <v>0</v>
      </c>
      <c r="AK151" s="85">
        <v>0.902</v>
      </c>
      <c r="AL151" s="66">
        <v>55358.2656</v>
      </c>
      <c r="AM151" s="56">
        <v>2.662</v>
      </c>
      <c r="AN151" s="66">
        <v>163374.39359999998</v>
      </c>
      <c r="AO151" s="17">
        <v>1.19</v>
      </c>
      <c r="AP151" s="74">
        <v>1.03</v>
      </c>
      <c r="AQ151" s="74">
        <v>0.16</v>
      </c>
      <c r="AR151" s="74">
        <v>73033.632</v>
      </c>
    </row>
    <row r="152" spans="1:44" ht="12.75">
      <c r="A152" s="6">
        <v>141</v>
      </c>
      <c r="B152" s="80">
        <v>8</v>
      </c>
      <c r="C152" s="81" t="s">
        <v>75</v>
      </c>
      <c r="D152" s="80">
        <v>4214.7</v>
      </c>
      <c r="E152" s="85">
        <v>-0.0024442546325964543</v>
      </c>
      <c r="F152" s="82">
        <v>17.602444254632598</v>
      </c>
      <c r="G152" s="82">
        <v>17.6</v>
      </c>
      <c r="H152" s="82">
        <v>890268.2616000001</v>
      </c>
      <c r="I152" s="5">
        <v>1.86</v>
      </c>
      <c r="J152" s="58">
        <v>94072.10399999999</v>
      </c>
      <c r="K152" s="82">
        <v>0.32</v>
      </c>
      <c r="L152" s="58">
        <v>16184.448</v>
      </c>
      <c r="M152" s="43">
        <v>0.06</v>
      </c>
      <c r="N152" s="58">
        <v>3034.584</v>
      </c>
      <c r="O152" s="83"/>
      <c r="P152" s="58">
        <v>0</v>
      </c>
      <c r="Q152" s="12">
        <v>0.93</v>
      </c>
      <c r="R152" s="58">
        <v>47036.051999999996</v>
      </c>
      <c r="S152" s="82">
        <v>0.09</v>
      </c>
      <c r="T152" s="58">
        <v>4551.876</v>
      </c>
      <c r="U152" s="82">
        <v>3.96</v>
      </c>
      <c r="V152" s="58">
        <v>200282.544</v>
      </c>
      <c r="W152" s="85">
        <v>0.30844425463259545</v>
      </c>
      <c r="X152" s="58">
        <v>15600</v>
      </c>
      <c r="Y152" s="38"/>
      <c r="Z152" s="58">
        <v>0</v>
      </c>
      <c r="AA152" s="58"/>
      <c r="AB152" s="58"/>
      <c r="AC152" s="169">
        <v>5.32</v>
      </c>
      <c r="AD152" s="58">
        <v>269066.44800000003</v>
      </c>
      <c r="AE152" s="84">
        <v>0</v>
      </c>
      <c r="AF152" s="12">
        <v>0</v>
      </c>
      <c r="AG152" s="84"/>
      <c r="AH152" s="12">
        <v>0</v>
      </c>
      <c r="AI152" s="82"/>
      <c r="AJ152" s="64">
        <v>0</v>
      </c>
      <c r="AK152" s="85">
        <v>0.902</v>
      </c>
      <c r="AL152" s="66">
        <v>45619.9128</v>
      </c>
      <c r="AM152" s="56">
        <v>2.662</v>
      </c>
      <c r="AN152" s="66">
        <v>134634.3768</v>
      </c>
      <c r="AO152" s="17">
        <v>1.19</v>
      </c>
      <c r="AP152" s="74">
        <v>1.03</v>
      </c>
      <c r="AQ152" s="74">
        <v>0.16</v>
      </c>
      <c r="AR152" s="74">
        <v>60185.916</v>
      </c>
    </row>
    <row r="153" spans="1:44" ht="12.75">
      <c r="A153" s="6">
        <v>142</v>
      </c>
      <c r="B153" s="80">
        <v>9</v>
      </c>
      <c r="C153" s="43" t="s">
        <v>254</v>
      </c>
      <c r="D153" s="12">
        <v>1239.1</v>
      </c>
      <c r="E153" s="85">
        <v>0.0016715125125834618</v>
      </c>
      <c r="F153" s="82">
        <v>16.338328487487416</v>
      </c>
      <c r="G153" s="82">
        <v>16.34</v>
      </c>
      <c r="H153" s="82">
        <v>254012.75280000002</v>
      </c>
      <c r="I153" s="112">
        <v>1.42</v>
      </c>
      <c r="J153" s="58">
        <v>21114.263999999996</v>
      </c>
      <c r="K153" s="82">
        <v>0.32</v>
      </c>
      <c r="L153" s="58">
        <v>4758.144</v>
      </c>
      <c r="M153" s="43">
        <v>0.03</v>
      </c>
      <c r="N153" s="58">
        <v>446.0759999999999</v>
      </c>
      <c r="O153" s="82"/>
      <c r="P153" s="58">
        <v>0</v>
      </c>
      <c r="Q153" s="43">
        <v>0.93</v>
      </c>
      <c r="R153" s="58">
        <v>13828.356</v>
      </c>
      <c r="S153" s="83">
        <v>0.09</v>
      </c>
      <c r="T153" s="58">
        <v>1338.2279999999998</v>
      </c>
      <c r="U153" s="82">
        <v>2.8</v>
      </c>
      <c r="V153" s="58">
        <v>41633.76</v>
      </c>
      <c r="W153" s="120">
        <v>0.3043284874874172</v>
      </c>
      <c r="X153" s="146">
        <v>15600</v>
      </c>
      <c r="Y153" s="38"/>
      <c r="Z153" s="58">
        <v>0</v>
      </c>
      <c r="AA153" s="58"/>
      <c r="AB153" s="58"/>
      <c r="AC153" s="169">
        <v>4.41</v>
      </c>
      <c r="AD153" s="58">
        <v>65573.17199999999</v>
      </c>
      <c r="AE153" s="84"/>
      <c r="AF153" s="12">
        <v>0</v>
      </c>
      <c r="AG153" s="83">
        <v>1.28</v>
      </c>
      <c r="AH153" s="12">
        <v>19032.576</v>
      </c>
      <c r="AI153" s="83"/>
      <c r="AJ153" s="64">
        <v>0</v>
      </c>
      <c r="AK153" s="85">
        <v>0.902</v>
      </c>
      <c r="AL153" s="66">
        <v>13412.018399999997</v>
      </c>
      <c r="AM153" s="56">
        <v>2.662</v>
      </c>
      <c r="AN153" s="66">
        <v>39581.8104</v>
      </c>
      <c r="AO153" s="17">
        <v>1.19</v>
      </c>
      <c r="AP153" s="74">
        <v>1.03</v>
      </c>
      <c r="AQ153" s="74">
        <v>0.16</v>
      </c>
      <c r="AR153" s="74">
        <v>17694.347999999998</v>
      </c>
    </row>
    <row r="154" spans="1:44" ht="12.75">
      <c r="A154" s="6"/>
      <c r="B154" s="80">
        <v>10</v>
      </c>
      <c r="C154" s="43" t="s">
        <v>238</v>
      </c>
      <c r="D154" s="12">
        <v>3032.6</v>
      </c>
      <c r="E154" s="85">
        <v>-0.004041416785394603</v>
      </c>
      <c r="F154" s="82">
        <v>30.564041416785397</v>
      </c>
      <c r="G154" s="82">
        <v>30.56</v>
      </c>
      <c r="H154" s="82">
        <v>1110809.2367999998</v>
      </c>
      <c r="I154" s="112">
        <v>1.42</v>
      </c>
      <c r="J154" s="58">
        <v>51675.50399999999</v>
      </c>
      <c r="K154" s="82">
        <v>0.32</v>
      </c>
      <c r="L154" s="58">
        <v>11645.184000000001</v>
      </c>
      <c r="M154" s="43">
        <v>0.03</v>
      </c>
      <c r="N154" s="58">
        <v>1091.7359999999999</v>
      </c>
      <c r="O154" s="82"/>
      <c r="P154" s="58">
        <v>0</v>
      </c>
      <c r="Q154" s="43">
        <v>0.93</v>
      </c>
      <c r="R154" s="58">
        <v>33843.816000000006</v>
      </c>
      <c r="S154" s="83">
        <v>0.09</v>
      </c>
      <c r="T154" s="58">
        <v>3275.2079999999996</v>
      </c>
      <c r="U154" s="82">
        <v>3.66</v>
      </c>
      <c r="V154" s="58">
        <v>133191.79200000002</v>
      </c>
      <c r="W154" s="121"/>
      <c r="X154" s="147"/>
      <c r="Y154" s="38"/>
      <c r="Z154" s="58">
        <v>0</v>
      </c>
      <c r="AA154" s="58"/>
      <c r="AB154" s="58"/>
      <c r="AC154" s="169">
        <v>9.73</v>
      </c>
      <c r="AD154" s="58">
        <v>354086.37599999993</v>
      </c>
      <c r="AE154" s="83">
        <v>8.350041416785395</v>
      </c>
      <c r="AF154" s="58">
        <v>302415.12</v>
      </c>
      <c r="AG154" s="83">
        <v>1.28</v>
      </c>
      <c r="AH154" s="12">
        <v>46580.736000000004</v>
      </c>
      <c r="AI154" s="83"/>
      <c r="AJ154" s="64">
        <v>0</v>
      </c>
      <c r="AK154" s="85">
        <v>0.902</v>
      </c>
      <c r="AL154" s="66">
        <v>32824.8624</v>
      </c>
      <c r="AM154" s="56">
        <v>2.662</v>
      </c>
      <c r="AN154" s="66">
        <v>96873.3744</v>
      </c>
      <c r="AO154" s="17">
        <v>1.19</v>
      </c>
      <c r="AP154" s="74">
        <v>1.03</v>
      </c>
      <c r="AQ154" s="74">
        <v>0.16</v>
      </c>
      <c r="AR154" s="74">
        <v>43305.528</v>
      </c>
    </row>
    <row r="155" spans="1:44" ht="12.75">
      <c r="A155" s="6">
        <v>143</v>
      </c>
      <c r="B155" s="80">
        <v>11</v>
      </c>
      <c r="C155" s="81" t="s">
        <v>76</v>
      </c>
      <c r="D155" s="43">
        <v>1574.21</v>
      </c>
      <c r="E155" s="85">
        <v>0.000760737131642486</v>
      </c>
      <c r="F155" s="82">
        <v>17.59923926286836</v>
      </c>
      <c r="G155" s="82">
        <v>17.6</v>
      </c>
      <c r="H155" s="82">
        <v>332458.78128</v>
      </c>
      <c r="I155" s="5">
        <v>1.86</v>
      </c>
      <c r="J155" s="58">
        <v>35136.3672</v>
      </c>
      <c r="K155" s="82">
        <v>0.32</v>
      </c>
      <c r="L155" s="58">
        <v>6044.9664</v>
      </c>
      <c r="M155" s="43">
        <v>0.06</v>
      </c>
      <c r="N155" s="58">
        <v>1133.4312</v>
      </c>
      <c r="O155" s="83"/>
      <c r="P155" s="58">
        <v>0</v>
      </c>
      <c r="Q155" s="12">
        <v>0.93</v>
      </c>
      <c r="R155" s="58">
        <v>17568.1836</v>
      </c>
      <c r="S155" s="82">
        <v>0.09</v>
      </c>
      <c r="T155" s="58">
        <v>1700.1468</v>
      </c>
      <c r="U155" s="82">
        <v>2.74</v>
      </c>
      <c r="V155" s="58">
        <v>51760.024800000014</v>
      </c>
      <c r="W155" s="85">
        <v>0.6352392628683593</v>
      </c>
      <c r="X155" s="58">
        <v>12000</v>
      </c>
      <c r="Y155" s="38"/>
      <c r="Z155" s="58">
        <v>0</v>
      </c>
      <c r="AA155" s="58"/>
      <c r="AB155" s="58"/>
      <c r="AC155" s="169">
        <v>6.21</v>
      </c>
      <c r="AD155" s="58">
        <v>117310.12920000002</v>
      </c>
      <c r="AE155" s="84">
        <v>0</v>
      </c>
      <c r="AF155" s="12">
        <v>0</v>
      </c>
      <c r="AG155" s="84"/>
      <c r="AH155" s="12">
        <v>0</v>
      </c>
      <c r="AI155" s="82"/>
      <c r="AJ155" s="64">
        <v>0</v>
      </c>
      <c r="AK155" s="85">
        <v>0.902</v>
      </c>
      <c r="AL155" s="66">
        <v>17039.24904</v>
      </c>
      <c r="AM155" s="56">
        <v>2.662</v>
      </c>
      <c r="AN155" s="66">
        <v>50286.56424</v>
      </c>
      <c r="AO155" s="17">
        <v>1.19</v>
      </c>
      <c r="AP155" s="74">
        <v>1.03</v>
      </c>
      <c r="AQ155" s="74">
        <v>0.16</v>
      </c>
      <c r="AR155" s="74">
        <v>22479.7188</v>
      </c>
    </row>
    <row r="156" spans="1:44" ht="12.75">
      <c r="A156" s="6">
        <v>144</v>
      </c>
      <c r="B156" s="80">
        <v>12</v>
      </c>
      <c r="C156" s="81" t="s">
        <v>77</v>
      </c>
      <c r="D156" s="43">
        <v>1962.1</v>
      </c>
      <c r="E156" s="85">
        <v>-0.0036580194689328493</v>
      </c>
      <c r="F156" s="82">
        <v>17.603658019468934</v>
      </c>
      <c r="G156" s="82">
        <v>17.6</v>
      </c>
      <c r="H156" s="82">
        <v>414481.64879999997</v>
      </c>
      <c r="I156" s="5">
        <v>1.86</v>
      </c>
      <c r="J156" s="58">
        <v>43794.072</v>
      </c>
      <c r="K156" s="82">
        <v>0.32</v>
      </c>
      <c r="L156" s="58">
        <v>7534.464</v>
      </c>
      <c r="M156" s="43">
        <v>0.06</v>
      </c>
      <c r="N156" s="58">
        <v>1412.7119999999998</v>
      </c>
      <c r="O156" s="83"/>
      <c r="P156" s="58">
        <v>0</v>
      </c>
      <c r="Q156" s="12">
        <v>0.93</v>
      </c>
      <c r="R156" s="58">
        <v>21897.036</v>
      </c>
      <c r="S156" s="82">
        <v>0.09</v>
      </c>
      <c r="T156" s="58">
        <v>2119.068</v>
      </c>
      <c r="U156" s="82">
        <v>3.2</v>
      </c>
      <c r="V156" s="58">
        <v>75344.64</v>
      </c>
      <c r="W156" s="85">
        <v>0.5096580194689363</v>
      </c>
      <c r="X156" s="58">
        <v>12000</v>
      </c>
      <c r="Y156" s="38"/>
      <c r="Z156" s="58">
        <v>0</v>
      </c>
      <c r="AA156" s="58"/>
      <c r="AB156" s="58"/>
      <c r="AC156" s="169">
        <v>5.88</v>
      </c>
      <c r="AD156" s="58">
        <v>138445.77599999998</v>
      </c>
      <c r="AE156" s="84">
        <v>0</v>
      </c>
      <c r="AF156" s="12">
        <v>0</v>
      </c>
      <c r="AG156" s="84"/>
      <c r="AH156" s="12">
        <v>0</v>
      </c>
      <c r="AI156" s="82"/>
      <c r="AJ156" s="64">
        <v>0</v>
      </c>
      <c r="AK156" s="85">
        <v>0.902</v>
      </c>
      <c r="AL156" s="66">
        <v>21237.7704</v>
      </c>
      <c r="AM156" s="56">
        <v>2.662</v>
      </c>
      <c r="AN156" s="66">
        <v>62677.32239999999</v>
      </c>
      <c r="AO156" s="17">
        <v>1.19</v>
      </c>
      <c r="AP156" s="74">
        <v>1.03</v>
      </c>
      <c r="AQ156" s="74">
        <v>0.16</v>
      </c>
      <c r="AR156" s="74">
        <v>28018.788</v>
      </c>
    </row>
    <row r="157" spans="1:44" ht="12.75">
      <c r="A157" s="6">
        <v>145</v>
      </c>
      <c r="B157" s="80">
        <v>13</v>
      </c>
      <c r="C157" s="81" t="s">
        <v>78</v>
      </c>
      <c r="D157" s="170">
        <v>1588</v>
      </c>
      <c r="E157" s="85">
        <v>-0.00263979848866569</v>
      </c>
      <c r="F157" s="82">
        <v>17.602639798488667</v>
      </c>
      <c r="G157" s="82">
        <v>17.6</v>
      </c>
      <c r="H157" s="82">
        <v>335435.904</v>
      </c>
      <c r="I157" s="5">
        <v>1.86</v>
      </c>
      <c r="J157" s="58">
        <v>35444.16</v>
      </c>
      <c r="K157" s="82">
        <v>0.32</v>
      </c>
      <c r="L157" s="58">
        <v>6097.92</v>
      </c>
      <c r="M157" s="43">
        <v>0.06</v>
      </c>
      <c r="N157" s="58">
        <v>1143.36</v>
      </c>
      <c r="O157" s="83"/>
      <c r="P157" s="58">
        <v>0</v>
      </c>
      <c r="Q157" s="12">
        <v>0.93</v>
      </c>
      <c r="R157" s="58">
        <v>17722.08</v>
      </c>
      <c r="S157" s="82">
        <v>0.09</v>
      </c>
      <c r="T157" s="58">
        <v>1715.04</v>
      </c>
      <c r="U157" s="82">
        <v>3.35</v>
      </c>
      <c r="V157" s="58">
        <v>63837.6</v>
      </c>
      <c r="W157" s="85">
        <v>0.818639798488665</v>
      </c>
      <c r="X157" s="58">
        <v>15600</v>
      </c>
      <c r="Y157" s="38"/>
      <c r="Z157" s="58">
        <v>0</v>
      </c>
      <c r="AA157" s="58"/>
      <c r="AB157" s="58"/>
      <c r="AC157" s="169">
        <v>5.42</v>
      </c>
      <c r="AD157" s="58">
        <v>103283.52</v>
      </c>
      <c r="AE157" s="84">
        <v>0</v>
      </c>
      <c r="AF157" s="12">
        <v>0</v>
      </c>
      <c r="AG157" s="84"/>
      <c r="AH157" s="12">
        <v>0</v>
      </c>
      <c r="AI157" s="82"/>
      <c r="AJ157" s="64">
        <v>0</v>
      </c>
      <c r="AK157" s="85">
        <v>0.902</v>
      </c>
      <c r="AL157" s="66">
        <v>17188.512</v>
      </c>
      <c r="AM157" s="56">
        <v>2.662</v>
      </c>
      <c r="AN157" s="66">
        <v>50727.072</v>
      </c>
      <c r="AO157" s="17">
        <v>1.19</v>
      </c>
      <c r="AP157" s="74">
        <v>1.03</v>
      </c>
      <c r="AQ157" s="74">
        <v>0.16</v>
      </c>
      <c r="AR157" s="74">
        <v>22676.64</v>
      </c>
    </row>
    <row r="158" spans="1:44" ht="12.75">
      <c r="A158" s="6">
        <v>146</v>
      </c>
      <c r="B158" s="80">
        <v>14</v>
      </c>
      <c r="C158" s="81" t="s">
        <v>210</v>
      </c>
      <c r="D158" s="80">
        <v>4570.7</v>
      </c>
      <c r="E158" s="85">
        <v>0.0015796705099866415</v>
      </c>
      <c r="F158" s="82">
        <v>17.598420329490015</v>
      </c>
      <c r="G158" s="82">
        <v>17.6</v>
      </c>
      <c r="H158" s="82">
        <v>965245.1976</v>
      </c>
      <c r="I158" s="5">
        <v>1.86</v>
      </c>
      <c r="J158" s="58">
        <v>102018.024</v>
      </c>
      <c r="K158" s="82">
        <v>0.32</v>
      </c>
      <c r="L158" s="58">
        <v>17551.488</v>
      </c>
      <c r="M158" s="43">
        <v>0.06</v>
      </c>
      <c r="N158" s="58">
        <v>3290.9039999999995</v>
      </c>
      <c r="O158" s="83">
        <v>0.01</v>
      </c>
      <c r="P158" s="58">
        <v>548.484</v>
      </c>
      <c r="Q158" s="12">
        <v>0.93</v>
      </c>
      <c r="R158" s="58">
        <v>51009.012</v>
      </c>
      <c r="S158" s="82">
        <v>0.09</v>
      </c>
      <c r="T158" s="58">
        <v>4936.356</v>
      </c>
      <c r="U158" s="82">
        <v>4.97</v>
      </c>
      <c r="V158" s="58">
        <v>272596.54799999995</v>
      </c>
      <c r="W158" s="85">
        <v>0.28442032949001245</v>
      </c>
      <c r="X158" s="58">
        <v>15600</v>
      </c>
      <c r="Y158" s="38"/>
      <c r="Z158" s="58">
        <v>0</v>
      </c>
      <c r="AA158" s="58"/>
      <c r="AB158" s="58"/>
      <c r="AC158" s="169">
        <v>4.32</v>
      </c>
      <c r="AD158" s="58">
        <v>236945.088</v>
      </c>
      <c r="AE158" s="84">
        <v>0</v>
      </c>
      <c r="AF158" s="12">
        <v>0</v>
      </c>
      <c r="AG158" s="84"/>
      <c r="AH158" s="12">
        <v>0</v>
      </c>
      <c r="AI158" s="82"/>
      <c r="AJ158" s="64">
        <v>0</v>
      </c>
      <c r="AK158" s="85">
        <v>0.902</v>
      </c>
      <c r="AL158" s="66">
        <v>49473.256799999996</v>
      </c>
      <c r="AM158" s="56">
        <v>2.662</v>
      </c>
      <c r="AN158" s="66">
        <v>146006.44079999998</v>
      </c>
      <c r="AO158" s="17">
        <v>1.19</v>
      </c>
      <c r="AP158" s="74">
        <v>1.03</v>
      </c>
      <c r="AQ158" s="74">
        <v>0.16</v>
      </c>
      <c r="AR158" s="74">
        <v>65269.596</v>
      </c>
    </row>
    <row r="159" spans="1:44" ht="12.75">
      <c r="A159" s="6">
        <v>147</v>
      </c>
      <c r="B159" s="80">
        <v>15</v>
      </c>
      <c r="C159" s="81" t="s">
        <v>211</v>
      </c>
      <c r="D159" s="80">
        <v>3179.9</v>
      </c>
      <c r="E159" s="85">
        <v>-0.002817887354947146</v>
      </c>
      <c r="F159" s="82">
        <v>21.99281788735495</v>
      </c>
      <c r="G159" s="82">
        <v>21.99</v>
      </c>
      <c r="H159" s="82">
        <v>839219.5392</v>
      </c>
      <c r="I159" s="5">
        <v>1.86</v>
      </c>
      <c r="J159" s="58">
        <v>70975.368</v>
      </c>
      <c r="K159" s="82">
        <v>0.32</v>
      </c>
      <c r="L159" s="58">
        <v>12210.816</v>
      </c>
      <c r="M159" s="43">
        <v>0.06</v>
      </c>
      <c r="N159" s="58">
        <v>2289.5280000000002</v>
      </c>
      <c r="O159" s="83">
        <v>0.05</v>
      </c>
      <c r="P159" s="58">
        <v>1907.94</v>
      </c>
      <c r="Q159" s="12">
        <v>0.93</v>
      </c>
      <c r="R159" s="58">
        <v>35487.684</v>
      </c>
      <c r="S159" s="82">
        <v>0.09</v>
      </c>
      <c r="T159" s="58">
        <v>3434.2919999999995</v>
      </c>
      <c r="U159" s="82">
        <v>4</v>
      </c>
      <c r="V159" s="58">
        <v>152635.2</v>
      </c>
      <c r="W159" s="85">
        <v>0.40881788735494823</v>
      </c>
      <c r="X159" s="58">
        <v>15600</v>
      </c>
      <c r="Y159" s="38"/>
      <c r="Z159" s="58">
        <v>0</v>
      </c>
      <c r="AA159" s="58"/>
      <c r="AB159" s="58"/>
      <c r="AC159" s="169">
        <v>9.52</v>
      </c>
      <c r="AD159" s="58">
        <v>363271.776</v>
      </c>
      <c r="AE159" s="84">
        <v>0</v>
      </c>
      <c r="AF159" s="12">
        <v>0</v>
      </c>
      <c r="AG159" s="84"/>
      <c r="AH159" s="12">
        <v>0</v>
      </c>
      <c r="AI159" s="82"/>
      <c r="AJ159" s="64">
        <v>0</v>
      </c>
      <c r="AK159" s="85">
        <v>0.902</v>
      </c>
      <c r="AL159" s="66">
        <v>34419.2376</v>
      </c>
      <c r="AM159" s="56">
        <v>2.662</v>
      </c>
      <c r="AN159" s="66">
        <v>101578.7256</v>
      </c>
      <c r="AO159" s="17">
        <v>1.19</v>
      </c>
      <c r="AP159" s="74">
        <v>1.03</v>
      </c>
      <c r="AQ159" s="74">
        <v>0.16</v>
      </c>
      <c r="AR159" s="74">
        <v>45408.972</v>
      </c>
    </row>
    <row r="160" spans="1:44" ht="12.75">
      <c r="A160" s="6">
        <v>148</v>
      </c>
      <c r="B160" s="80">
        <v>16</v>
      </c>
      <c r="C160" s="81" t="s">
        <v>212</v>
      </c>
      <c r="D160" s="80">
        <v>4087.1</v>
      </c>
      <c r="E160" s="85">
        <v>-0.0020739399574267736</v>
      </c>
      <c r="F160" s="82">
        <v>17.602073939957428</v>
      </c>
      <c r="G160" s="82">
        <v>17.6</v>
      </c>
      <c r="H160" s="82">
        <v>863297.2367999998</v>
      </c>
      <c r="I160" s="5">
        <v>1.86</v>
      </c>
      <c r="J160" s="58">
        <v>91224.072</v>
      </c>
      <c r="K160" s="82">
        <v>0.32</v>
      </c>
      <c r="L160" s="58">
        <v>15694.464</v>
      </c>
      <c r="M160" s="43">
        <v>0.06</v>
      </c>
      <c r="N160" s="58">
        <v>2942.712</v>
      </c>
      <c r="O160" s="83"/>
      <c r="P160" s="58">
        <v>0</v>
      </c>
      <c r="Q160" s="12">
        <v>0.93</v>
      </c>
      <c r="R160" s="58">
        <v>45612.036</v>
      </c>
      <c r="S160" s="82">
        <v>0.09</v>
      </c>
      <c r="T160" s="58">
        <v>4414.068</v>
      </c>
      <c r="U160" s="82">
        <v>3.61</v>
      </c>
      <c r="V160" s="58">
        <v>177053.172</v>
      </c>
      <c r="W160" s="85">
        <v>0.318073939957427</v>
      </c>
      <c r="X160" s="58">
        <v>15600</v>
      </c>
      <c r="Y160" s="38"/>
      <c r="Z160" s="58">
        <v>0</v>
      </c>
      <c r="AA160" s="58"/>
      <c r="AB160" s="58"/>
      <c r="AC160" s="169">
        <v>5.66</v>
      </c>
      <c r="AD160" s="58">
        <v>277595.832</v>
      </c>
      <c r="AE160" s="84">
        <v>0</v>
      </c>
      <c r="AF160" s="12">
        <v>0</v>
      </c>
      <c r="AG160" s="84"/>
      <c r="AH160" s="12">
        <v>0</v>
      </c>
      <c r="AI160" s="82"/>
      <c r="AJ160" s="64">
        <v>0</v>
      </c>
      <c r="AK160" s="85">
        <v>0.902</v>
      </c>
      <c r="AL160" s="66">
        <v>44238.770399999994</v>
      </c>
      <c r="AM160" s="56">
        <v>2.662</v>
      </c>
      <c r="AN160" s="66">
        <v>130558.32239999999</v>
      </c>
      <c r="AO160" s="17">
        <v>1.19</v>
      </c>
      <c r="AP160" s="74">
        <v>1.03</v>
      </c>
      <c r="AQ160" s="74">
        <v>0.16</v>
      </c>
      <c r="AR160" s="74">
        <v>58363.78799999999</v>
      </c>
    </row>
    <row r="161" spans="1:44" ht="12.75">
      <c r="A161" s="6">
        <v>149</v>
      </c>
      <c r="B161" s="80">
        <v>17</v>
      </c>
      <c r="C161" s="81" t="s">
        <v>213</v>
      </c>
      <c r="D161" s="80">
        <v>5035.5</v>
      </c>
      <c r="E161" s="85">
        <v>-0.0021670141991840808</v>
      </c>
      <c r="F161" s="82">
        <v>17.602167014199186</v>
      </c>
      <c r="G161" s="82">
        <v>17.6</v>
      </c>
      <c r="H161" s="82">
        <v>1063628.544</v>
      </c>
      <c r="I161" s="5">
        <v>1.86</v>
      </c>
      <c r="J161" s="58">
        <v>112392.36</v>
      </c>
      <c r="K161" s="82">
        <v>0.32</v>
      </c>
      <c r="L161" s="58">
        <v>19336.32</v>
      </c>
      <c r="M161" s="43">
        <v>0.06</v>
      </c>
      <c r="N161" s="58">
        <v>3625.56</v>
      </c>
      <c r="O161" s="83">
        <v>0.05</v>
      </c>
      <c r="P161" s="58">
        <v>3021.3</v>
      </c>
      <c r="Q161" s="12">
        <v>0.93</v>
      </c>
      <c r="R161" s="58">
        <v>56196.18</v>
      </c>
      <c r="S161" s="82">
        <v>0.09</v>
      </c>
      <c r="T161" s="58">
        <v>5438.34</v>
      </c>
      <c r="U161" s="82">
        <v>3.78</v>
      </c>
      <c r="V161" s="58">
        <v>228410.28</v>
      </c>
      <c r="W161" s="85">
        <v>0.2581670141991858</v>
      </c>
      <c r="X161" s="58">
        <v>15600</v>
      </c>
      <c r="Y161" s="38"/>
      <c r="Z161" s="58">
        <v>0</v>
      </c>
      <c r="AA161" s="58"/>
      <c r="AB161" s="58"/>
      <c r="AC161" s="169">
        <v>5.5</v>
      </c>
      <c r="AD161" s="58">
        <v>332343</v>
      </c>
      <c r="AE161" s="84">
        <v>0</v>
      </c>
      <c r="AF161" s="12">
        <v>0</v>
      </c>
      <c r="AG161" s="84"/>
      <c r="AH161" s="12">
        <v>0</v>
      </c>
      <c r="AI161" s="82"/>
      <c r="AJ161" s="64">
        <v>0</v>
      </c>
      <c r="AK161" s="85">
        <v>0.902</v>
      </c>
      <c r="AL161" s="66">
        <v>54504.25199999999</v>
      </c>
      <c r="AM161" s="56">
        <v>2.662</v>
      </c>
      <c r="AN161" s="66">
        <v>160854.012</v>
      </c>
      <c r="AO161" s="17">
        <v>1.19</v>
      </c>
      <c r="AP161" s="74">
        <v>1.03</v>
      </c>
      <c r="AQ161" s="74">
        <v>0.16</v>
      </c>
      <c r="AR161" s="74">
        <v>71906.94</v>
      </c>
    </row>
    <row r="162" spans="1:44" ht="12.75">
      <c r="A162" s="6">
        <v>150</v>
      </c>
      <c r="B162" s="80">
        <v>18</v>
      </c>
      <c r="C162" s="81" t="s">
        <v>170</v>
      </c>
      <c r="D162" s="43">
        <v>3119.2</v>
      </c>
      <c r="E162" s="85">
        <v>-0.010773531674789893</v>
      </c>
      <c r="F162" s="82">
        <v>17.61077353167479</v>
      </c>
      <c r="G162" s="82">
        <v>17.6</v>
      </c>
      <c r="H162" s="82">
        <v>659178.2975999999</v>
      </c>
      <c r="I162" s="5">
        <v>1.86</v>
      </c>
      <c r="J162" s="58">
        <v>69620.544</v>
      </c>
      <c r="K162" s="82">
        <v>0.32</v>
      </c>
      <c r="L162" s="58">
        <v>11977.728</v>
      </c>
      <c r="M162" s="43">
        <v>0.07</v>
      </c>
      <c r="N162" s="58">
        <v>2620.1279999999997</v>
      </c>
      <c r="O162" s="83"/>
      <c r="P162" s="58">
        <v>0</v>
      </c>
      <c r="Q162" s="12">
        <v>0.93</v>
      </c>
      <c r="R162" s="58">
        <v>34810.272</v>
      </c>
      <c r="S162" s="82">
        <v>0.09</v>
      </c>
      <c r="T162" s="58">
        <v>3368.7359999999994</v>
      </c>
      <c r="U162" s="82">
        <v>3.92</v>
      </c>
      <c r="V162" s="58">
        <v>146727.168</v>
      </c>
      <c r="W162" s="85">
        <v>0.4167735316747884</v>
      </c>
      <c r="X162" s="58">
        <v>15600</v>
      </c>
      <c r="Y162" s="38"/>
      <c r="Z162" s="58">
        <v>0</v>
      </c>
      <c r="AA162" s="58"/>
      <c r="AB162" s="58"/>
      <c r="AC162" s="169">
        <v>5.25</v>
      </c>
      <c r="AD162" s="58">
        <v>196509.6</v>
      </c>
      <c r="AE162" s="84">
        <v>0</v>
      </c>
      <c r="AF162" s="12">
        <v>0</v>
      </c>
      <c r="AG162" s="84"/>
      <c r="AH162" s="12">
        <v>0</v>
      </c>
      <c r="AI162" s="82"/>
      <c r="AJ162" s="64">
        <v>0</v>
      </c>
      <c r="AK162" s="85">
        <v>0.902</v>
      </c>
      <c r="AL162" s="66">
        <v>33762.220799999996</v>
      </c>
      <c r="AM162" s="56">
        <v>2.662</v>
      </c>
      <c r="AN162" s="66">
        <v>99639.72479999998</v>
      </c>
      <c r="AO162" s="17">
        <v>1.19</v>
      </c>
      <c r="AP162" s="74">
        <v>1.03</v>
      </c>
      <c r="AQ162" s="74">
        <v>0.16</v>
      </c>
      <c r="AR162" s="74">
        <v>44542.17599999999</v>
      </c>
    </row>
    <row r="163" spans="1:44" ht="12.75">
      <c r="A163" s="6">
        <v>151</v>
      </c>
      <c r="B163" s="80">
        <v>19</v>
      </c>
      <c r="C163" s="43" t="s">
        <v>250</v>
      </c>
      <c r="D163" s="80">
        <v>3331.7</v>
      </c>
      <c r="E163" s="85">
        <v>-0.004191193684903283</v>
      </c>
      <c r="F163" s="82">
        <v>18.204191193684906</v>
      </c>
      <c r="G163" s="82">
        <v>18.2</v>
      </c>
      <c r="H163" s="82">
        <v>662209.6725999999</v>
      </c>
      <c r="I163" s="5">
        <v>1.86</v>
      </c>
      <c r="J163" s="58">
        <v>74363.544</v>
      </c>
      <c r="K163" s="80">
        <v>0.32</v>
      </c>
      <c r="L163" s="58">
        <v>12793.728</v>
      </c>
      <c r="M163" s="80"/>
      <c r="N163" s="58">
        <v>0</v>
      </c>
      <c r="O163" s="80"/>
      <c r="P163" s="58">
        <v>0</v>
      </c>
      <c r="Q163" s="80">
        <v>0.93</v>
      </c>
      <c r="R163" s="58">
        <v>37181.772</v>
      </c>
      <c r="S163" s="80">
        <v>0.09</v>
      </c>
      <c r="T163" s="58">
        <v>3598.2359999999994</v>
      </c>
      <c r="U163" s="82">
        <v>7.17</v>
      </c>
      <c r="V163" s="58">
        <v>286659.468</v>
      </c>
      <c r="W163" s="85">
        <v>0.3901911936849056</v>
      </c>
      <c r="X163" s="58">
        <v>15600</v>
      </c>
      <c r="Y163" s="38"/>
      <c r="Z163" s="58">
        <v>0</v>
      </c>
      <c r="AA163" s="58"/>
      <c r="AB163" s="58"/>
      <c r="AC163" s="169">
        <v>0.9</v>
      </c>
      <c r="AD163" s="58">
        <v>35982.36</v>
      </c>
      <c r="AE163" s="80"/>
      <c r="AF163" s="12">
        <v>0</v>
      </c>
      <c r="AG163" s="80"/>
      <c r="AH163" s="12">
        <v>0</v>
      </c>
      <c r="AI163" s="82">
        <v>1.79</v>
      </c>
      <c r="AJ163" s="64">
        <v>5963.7429999999995</v>
      </c>
      <c r="AK163" s="85">
        <v>0.902</v>
      </c>
      <c r="AL163" s="66">
        <v>36062.3208</v>
      </c>
      <c r="AM163" s="56">
        <v>2.662</v>
      </c>
      <c r="AN163" s="66">
        <v>106427.8248</v>
      </c>
      <c r="AO163" s="17">
        <v>1.19</v>
      </c>
      <c r="AP163" s="74">
        <v>1.03</v>
      </c>
      <c r="AQ163" s="74">
        <v>0.16</v>
      </c>
      <c r="AR163" s="74">
        <v>47576.67599999999</v>
      </c>
    </row>
    <row r="164" spans="1:44" ht="12.75">
      <c r="A164" s="6">
        <v>152</v>
      </c>
      <c r="B164" s="80">
        <v>20</v>
      </c>
      <c r="C164" s="81" t="s">
        <v>79</v>
      </c>
      <c r="D164" s="80">
        <v>3882.7</v>
      </c>
      <c r="E164" s="85">
        <v>0.0011814459010466294</v>
      </c>
      <c r="F164" s="82">
        <v>17.598818554098955</v>
      </c>
      <c r="G164" s="82">
        <v>17.6</v>
      </c>
      <c r="H164" s="82">
        <v>819971.1935999999</v>
      </c>
      <c r="I164" s="5">
        <v>1.86</v>
      </c>
      <c r="J164" s="58">
        <v>86661.864</v>
      </c>
      <c r="K164" s="82">
        <v>0.32</v>
      </c>
      <c r="L164" s="58">
        <v>14909.568</v>
      </c>
      <c r="M164" s="43">
        <v>0.06</v>
      </c>
      <c r="N164" s="58">
        <v>2795.544</v>
      </c>
      <c r="O164" s="83"/>
      <c r="P164" s="58">
        <v>0</v>
      </c>
      <c r="Q164" s="12">
        <v>0.93</v>
      </c>
      <c r="R164" s="58">
        <v>43330.932</v>
      </c>
      <c r="S164" s="82">
        <v>0.09</v>
      </c>
      <c r="T164" s="58">
        <v>4193.316</v>
      </c>
      <c r="U164" s="82">
        <v>5.11</v>
      </c>
      <c r="V164" s="58">
        <v>238087.164</v>
      </c>
      <c r="W164" s="85">
        <v>0.3348185540989517</v>
      </c>
      <c r="X164" s="58">
        <v>15600</v>
      </c>
      <c r="Y164" s="38"/>
      <c r="Z164" s="58">
        <v>0</v>
      </c>
      <c r="AA164" s="58"/>
      <c r="AB164" s="58"/>
      <c r="AC164" s="169">
        <v>4.14</v>
      </c>
      <c r="AD164" s="58">
        <v>192892.53600000002</v>
      </c>
      <c r="AE164" s="84">
        <v>0</v>
      </c>
      <c r="AF164" s="12">
        <v>0</v>
      </c>
      <c r="AG164" s="84"/>
      <c r="AH164" s="12">
        <v>0</v>
      </c>
      <c r="AI164" s="82"/>
      <c r="AJ164" s="64">
        <v>0</v>
      </c>
      <c r="AK164" s="85">
        <v>0.902</v>
      </c>
      <c r="AL164" s="66">
        <v>42026.3448</v>
      </c>
      <c r="AM164" s="56">
        <v>2.662</v>
      </c>
      <c r="AN164" s="66">
        <v>124028.96879999997</v>
      </c>
      <c r="AO164" s="17">
        <v>1.19</v>
      </c>
      <c r="AP164" s="74">
        <v>1.03</v>
      </c>
      <c r="AQ164" s="74">
        <v>0.16</v>
      </c>
      <c r="AR164" s="74">
        <v>55444.95599999999</v>
      </c>
    </row>
    <row r="165" spans="1:44" ht="12.75">
      <c r="A165" s="6">
        <v>153</v>
      </c>
      <c r="B165" s="80">
        <v>21</v>
      </c>
      <c r="C165" s="81" t="s">
        <v>80</v>
      </c>
      <c r="D165" s="80">
        <v>4238.7</v>
      </c>
      <c r="E165" s="85">
        <v>-0.0006978082902797667</v>
      </c>
      <c r="F165" s="82">
        <v>17.60069780829028</v>
      </c>
      <c r="G165" s="82">
        <v>17.6</v>
      </c>
      <c r="H165" s="82">
        <v>895248.9335999999</v>
      </c>
      <c r="I165" s="5">
        <v>1.86</v>
      </c>
      <c r="J165" s="58">
        <v>94607.784</v>
      </c>
      <c r="K165" s="82">
        <v>0.32</v>
      </c>
      <c r="L165" s="58">
        <v>16276.608</v>
      </c>
      <c r="M165" s="43">
        <v>0.06</v>
      </c>
      <c r="N165" s="58">
        <v>3051.8639999999996</v>
      </c>
      <c r="O165" s="83"/>
      <c r="P165" s="58">
        <v>0</v>
      </c>
      <c r="Q165" s="12">
        <v>0.93</v>
      </c>
      <c r="R165" s="58">
        <v>47303.892</v>
      </c>
      <c r="S165" s="82">
        <v>0.09</v>
      </c>
      <c r="T165" s="58">
        <v>4577.795999999999</v>
      </c>
      <c r="U165" s="82">
        <v>3.52</v>
      </c>
      <c r="V165" s="58">
        <v>179042.688</v>
      </c>
      <c r="W165" s="85">
        <v>0.3066978082902777</v>
      </c>
      <c r="X165" s="58">
        <v>15600</v>
      </c>
      <c r="Y165" s="38"/>
      <c r="Z165" s="58">
        <v>0</v>
      </c>
      <c r="AA165" s="58"/>
      <c r="AB165" s="58"/>
      <c r="AC165" s="169">
        <v>5.76</v>
      </c>
      <c r="AD165" s="58">
        <v>292978.944</v>
      </c>
      <c r="AE165" s="84">
        <v>0</v>
      </c>
      <c r="AF165" s="12">
        <v>0</v>
      </c>
      <c r="AG165" s="84"/>
      <c r="AH165" s="12">
        <v>0</v>
      </c>
      <c r="AI165" s="82"/>
      <c r="AJ165" s="64">
        <v>0</v>
      </c>
      <c r="AK165" s="85">
        <v>0.902</v>
      </c>
      <c r="AL165" s="66">
        <v>45879.6888</v>
      </c>
      <c r="AM165" s="56">
        <v>2.662</v>
      </c>
      <c r="AN165" s="66">
        <v>135401.0328</v>
      </c>
      <c r="AO165" s="17">
        <v>1.19</v>
      </c>
      <c r="AP165" s="74">
        <v>1.03</v>
      </c>
      <c r="AQ165" s="74">
        <v>0.16</v>
      </c>
      <c r="AR165" s="74">
        <v>60528.636</v>
      </c>
    </row>
    <row r="166" spans="1:44" ht="12.75">
      <c r="A166" s="6">
        <v>154</v>
      </c>
      <c r="B166" s="80">
        <v>22</v>
      </c>
      <c r="C166" s="81" t="s">
        <v>81</v>
      </c>
      <c r="D166" s="80">
        <v>1711.1</v>
      </c>
      <c r="E166" s="85">
        <v>-0.0037451931506033986</v>
      </c>
      <c r="F166" s="82">
        <v>17.603745193150605</v>
      </c>
      <c r="G166" s="82">
        <v>17.6</v>
      </c>
      <c r="H166" s="82">
        <v>361461.22079999995</v>
      </c>
      <c r="I166" s="5">
        <v>1.86</v>
      </c>
      <c r="J166" s="58">
        <v>38191.752</v>
      </c>
      <c r="K166" s="82">
        <v>0.32</v>
      </c>
      <c r="L166" s="58">
        <v>6570.624</v>
      </c>
      <c r="M166" s="43">
        <v>0.06</v>
      </c>
      <c r="N166" s="58">
        <v>1231.992</v>
      </c>
      <c r="O166" s="83">
        <v>0.01</v>
      </c>
      <c r="P166" s="58">
        <v>205.332</v>
      </c>
      <c r="Q166" s="12">
        <v>0.93</v>
      </c>
      <c r="R166" s="58">
        <v>19095.876</v>
      </c>
      <c r="S166" s="82">
        <v>0.09</v>
      </c>
      <c r="T166" s="58">
        <v>1847.9879999999998</v>
      </c>
      <c r="U166" s="82">
        <v>3.2</v>
      </c>
      <c r="V166" s="58">
        <v>65706.24</v>
      </c>
      <c r="W166" s="85">
        <v>0.759745193150605</v>
      </c>
      <c r="X166" s="58">
        <v>15600</v>
      </c>
      <c r="Y166" s="38"/>
      <c r="Z166" s="58">
        <v>0</v>
      </c>
      <c r="AA166" s="58"/>
      <c r="AB166" s="58"/>
      <c r="AC166" s="169">
        <v>5.62</v>
      </c>
      <c r="AD166" s="58">
        <v>115396.584</v>
      </c>
      <c r="AE166" s="84">
        <v>0</v>
      </c>
      <c r="AF166" s="12">
        <v>0</v>
      </c>
      <c r="AG166" s="84"/>
      <c r="AH166" s="12">
        <v>0</v>
      </c>
      <c r="AI166" s="82"/>
      <c r="AJ166" s="64">
        <v>0</v>
      </c>
      <c r="AK166" s="85">
        <v>0.902</v>
      </c>
      <c r="AL166" s="66">
        <v>18520.9464</v>
      </c>
      <c r="AM166" s="56">
        <v>2.662</v>
      </c>
      <c r="AN166" s="66">
        <v>54659.3784</v>
      </c>
      <c r="AO166" s="17">
        <v>1.19</v>
      </c>
      <c r="AP166" s="74">
        <v>1.03</v>
      </c>
      <c r="AQ166" s="74">
        <v>0.16</v>
      </c>
      <c r="AR166" s="74">
        <v>24434.507999999998</v>
      </c>
    </row>
    <row r="167" spans="1:44" ht="12.75">
      <c r="A167" s="6">
        <v>155</v>
      </c>
      <c r="B167" s="80">
        <v>23</v>
      </c>
      <c r="C167" s="81" t="s">
        <v>82</v>
      </c>
      <c r="D167" s="80">
        <v>4987.9</v>
      </c>
      <c r="E167" s="85">
        <v>-0.004630726357785164</v>
      </c>
      <c r="F167" s="82">
        <v>17.604630726357787</v>
      </c>
      <c r="G167" s="82">
        <v>17.6</v>
      </c>
      <c r="H167" s="82">
        <v>1053721.6512</v>
      </c>
      <c r="I167" s="5">
        <v>1.86</v>
      </c>
      <c r="J167" s="58">
        <v>111329.92800000001</v>
      </c>
      <c r="K167" s="82">
        <v>0.32</v>
      </c>
      <c r="L167" s="58">
        <v>19153.536</v>
      </c>
      <c r="M167" s="43">
        <v>0.06</v>
      </c>
      <c r="N167" s="58">
        <v>3591.2879999999996</v>
      </c>
      <c r="O167" s="83">
        <v>0.05</v>
      </c>
      <c r="P167" s="58">
        <v>2992.74</v>
      </c>
      <c r="Q167" s="12">
        <v>0.93</v>
      </c>
      <c r="R167" s="58">
        <v>55664.96400000001</v>
      </c>
      <c r="S167" s="82">
        <v>0.09</v>
      </c>
      <c r="T167" s="58">
        <v>5386.931999999999</v>
      </c>
      <c r="U167" s="82">
        <v>4.2</v>
      </c>
      <c r="V167" s="58">
        <v>251390.16</v>
      </c>
      <c r="W167" s="85">
        <v>0.2606307263577859</v>
      </c>
      <c r="X167" s="58">
        <v>15600</v>
      </c>
      <c r="Y167" s="38"/>
      <c r="Z167" s="58">
        <v>0</v>
      </c>
      <c r="AA167" s="58"/>
      <c r="AB167" s="58"/>
      <c r="AC167" s="169">
        <v>5.08</v>
      </c>
      <c r="AD167" s="58">
        <v>304062.38399999996</v>
      </c>
      <c r="AE167" s="84">
        <v>0</v>
      </c>
      <c r="AF167" s="12">
        <v>0</v>
      </c>
      <c r="AG167" s="84"/>
      <c r="AH167" s="12">
        <v>0</v>
      </c>
      <c r="AI167" s="82"/>
      <c r="AJ167" s="64">
        <v>0</v>
      </c>
      <c r="AK167" s="85">
        <v>0.902</v>
      </c>
      <c r="AL167" s="66">
        <v>53989.029599999994</v>
      </c>
      <c r="AM167" s="56">
        <v>2.662</v>
      </c>
      <c r="AN167" s="66">
        <v>159333.47759999998</v>
      </c>
      <c r="AO167" s="17">
        <v>1.19</v>
      </c>
      <c r="AP167" s="74">
        <v>1.03</v>
      </c>
      <c r="AQ167" s="74">
        <v>0.16</v>
      </c>
      <c r="AR167" s="74">
        <v>71227.212</v>
      </c>
    </row>
    <row r="168" spans="1:44" ht="12.75">
      <c r="A168" s="6">
        <v>156</v>
      </c>
      <c r="B168" s="80">
        <v>24</v>
      </c>
      <c r="C168" s="81" t="s">
        <v>83</v>
      </c>
      <c r="D168" s="80">
        <v>4089.3</v>
      </c>
      <c r="E168" s="85">
        <v>-0.001902819553471602</v>
      </c>
      <c r="F168" s="82">
        <v>17.601902819553473</v>
      </c>
      <c r="G168" s="82">
        <v>17.6</v>
      </c>
      <c r="H168" s="82">
        <v>863753.5344000001</v>
      </c>
      <c r="I168" s="5">
        <v>1.86</v>
      </c>
      <c r="J168" s="58">
        <v>91273.176</v>
      </c>
      <c r="K168" s="82">
        <v>0.32</v>
      </c>
      <c r="L168" s="58">
        <v>15702.912</v>
      </c>
      <c r="M168" s="83">
        <v>0.06</v>
      </c>
      <c r="N168" s="58">
        <v>2944.2960000000003</v>
      </c>
      <c r="O168" s="83"/>
      <c r="P168" s="58">
        <v>0</v>
      </c>
      <c r="Q168" s="82">
        <v>0.93</v>
      </c>
      <c r="R168" s="58">
        <v>45636.588</v>
      </c>
      <c r="S168" s="82">
        <v>0.09</v>
      </c>
      <c r="T168" s="58">
        <v>4416.4439999999995</v>
      </c>
      <c r="U168" s="82">
        <v>4.04</v>
      </c>
      <c r="V168" s="58">
        <v>198249.26400000002</v>
      </c>
      <c r="W168" s="85">
        <v>0.31790281955346883</v>
      </c>
      <c r="X168" s="58">
        <v>15600</v>
      </c>
      <c r="Y168" s="38"/>
      <c r="Z168" s="58">
        <v>0</v>
      </c>
      <c r="AA168" s="58"/>
      <c r="AB168" s="58"/>
      <c r="AC168" s="169">
        <v>5.23</v>
      </c>
      <c r="AD168" s="58">
        <v>256644.468</v>
      </c>
      <c r="AE168" s="83">
        <v>0</v>
      </c>
      <c r="AF168" s="12">
        <v>0</v>
      </c>
      <c r="AG168" s="83"/>
      <c r="AH168" s="12">
        <v>0</v>
      </c>
      <c r="AI168" s="82"/>
      <c r="AJ168" s="64">
        <v>0</v>
      </c>
      <c r="AK168" s="85">
        <v>0.902</v>
      </c>
      <c r="AL168" s="66">
        <v>44262.5832</v>
      </c>
      <c r="AM168" s="56">
        <v>2.662</v>
      </c>
      <c r="AN168" s="66">
        <v>130628.5992</v>
      </c>
      <c r="AO168" s="17">
        <v>1.19</v>
      </c>
      <c r="AP168" s="74">
        <v>1.03</v>
      </c>
      <c r="AQ168" s="74">
        <v>0.16</v>
      </c>
      <c r="AR168" s="74">
        <v>58395.204</v>
      </c>
    </row>
    <row r="169" spans="1:44" ht="12.75">
      <c r="A169" s="6">
        <v>157</v>
      </c>
      <c r="B169" s="80">
        <v>25</v>
      </c>
      <c r="C169" s="81" t="s">
        <v>236</v>
      </c>
      <c r="D169" s="43">
        <v>2177.9</v>
      </c>
      <c r="E169" s="85">
        <v>-0.004000000000001336</v>
      </c>
      <c r="F169" s="82">
        <v>17.604000000000003</v>
      </c>
      <c r="G169" s="82">
        <v>17.6</v>
      </c>
      <c r="H169" s="82">
        <v>460077.0192</v>
      </c>
      <c r="I169" s="112">
        <v>1.69</v>
      </c>
      <c r="J169" s="58">
        <v>44167.812</v>
      </c>
      <c r="K169" s="82">
        <v>0.32</v>
      </c>
      <c r="L169" s="58">
        <v>8363.136</v>
      </c>
      <c r="M169" s="43">
        <v>0.03</v>
      </c>
      <c r="N169" s="58">
        <v>784.0440000000001</v>
      </c>
      <c r="O169" s="82"/>
      <c r="P169" s="58">
        <v>0</v>
      </c>
      <c r="Q169" s="43">
        <v>0.93</v>
      </c>
      <c r="R169" s="58">
        <v>24305.364</v>
      </c>
      <c r="S169" s="83">
        <v>0.09</v>
      </c>
      <c r="T169" s="58">
        <v>2352.132</v>
      </c>
      <c r="U169" s="82">
        <v>4.24</v>
      </c>
      <c r="V169" s="58">
        <v>110811.552</v>
      </c>
      <c r="W169" s="38"/>
      <c r="X169" s="58"/>
      <c r="Y169" s="38"/>
      <c r="Z169" s="58">
        <v>0</v>
      </c>
      <c r="AA169" s="58"/>
      <c r="AB169" s="58"/>
      <c r="AC169" s="169">
        <v>5.55</v>
      </c>
      <c r="AD169" s="58">
        <v>145048.14</v>
      </c>
      <c r="AE169" s="84"/>
      <c r="AF169" s="12">
        <v>0</v>
      </c>
      <c r="AG169" s="84"/>
      <c r="AH169" s="12">
        <v>0</v>
      </c>
      <c r="AI169" s="82"/>
      <c r="AJ169" s="64">
        <v>0</v>
      </c>
      <c r="AK169" s="85">
        <v>0.902</v>
      </c>
      <c r="AL169" s="66">
        <v>23573.589600000003</v>
      </c>
      <c r="AM169" s="56">
        <v>2.662</v>
      </c>
      <c r="AN169" s="66">
        <v>69570.8376</v>
      </c>
      <c r="AO169" s="17">
        <v>1.19</v>
      </c>
      <c r="AP169" s="74">
        <v>1.03</v>
      </c>
      <c r="AQ169" s="74">
        <v>0.16</v>
      </c>
      <c r="AR169" s="74">
        <v>31100.412</v>
      </c>
    </row>
    <row r="170" spans="1:44" ht="12.75">
      <c r="A170" s="6">
        <v>158</v>
      </c>
      <c r="B170" s="80">
        <v>26</v>
      </c>
      <c r="C170" s="81" t="s">
        <v>84</v>
      </c>
      <c r="D170" s="80">
        <v>3763.6</v>
      </c>
      <c r="E170" s="85">
        <v>0.0005860346476787015</v>
      </c>
      <c r="F170" s="82">
        <v>17.599413965352323</v>
      </c>
      <c r="G170" s="82">
        <v>17.6</v>
      </c>
      <c r="H170" s="82">
        <v>794845.8527999999</v>
      </c>
      <c r="I170" s="5">
        <v>1.86</v>
      </c>
      <c r="J170" s="58">
        <v>84003.552</v>
      </c>
      <c r="K170" s="82">
        <v>0.32</v>
      </c>
      <c r="L170" s="58">
        <v>14452.224000000002</v>
      </c>
      <c r="M170" s="43">
        <v>0.06</v>
      </c>
      <c r="N170" s="58">
        <v>2709.7919999999995</v>
      </c>
      <c r="O170" s="83"/>
      <c r="P170" s="58">
        <v>0</v>
      </c>
      <c r="Q170" s="12">
        <v>0.93</v>
      </c>
      <c r="R170" s="58">
        <v>42001.776</v>
      </c>
      <c r="S170" s="82">
        <v>0.09</v>
      </c>
      <c r="T170" s="58">
        <v>4064.688</v>
      </c>
      <c r="U170" s="82">
        <v>3.86</v>
      </c>
      <c r="V170" s="58">
        <v>174329.952</v>
      </c>
      <c r="W170" s="85">
        <v>0.34541396535232227</v>
      </c>
      <c r="X170" s="58">
        <v>15600</v>
      </c>
      <c r="Y170" s="38"/>
      <c r="Z170" s="58">
        <v>0</v>
      </c>
      <c r="AA170" s="58"/>
      <c r="AB170" s="58"/>
      <c r="AC170" s="169">
        <v>5.38</v>
      </c>
      <c r="AD170" s="58">
        <v>242978.01599999997</v>
      </c>
      <c r="AE170" s="84">
        <v>0</v>
      </c>
      <c r="AF170" s="12">
        <v>0</v>
      </c>
      <c r="AG170" s="84"/>
      <c r="AH170" s="12">
        <v>0</v>
      </c>
      <c r="AI170" s="82"/>
      <c r="AJ170" s="64">
        <v>0</v>
      </c>
      <c r="AK170" s="85">
        <v>0.902</v>
      </c>
      <c r="AL170" s="66">
        <v>40737.2064</v>
      </c>
      <c r="AM170" s="56">
        <v>2.662</v>
      </c>
      <c r="AN170" s="66">
        <v>120224.4384</v>
      </c>
      <c r="AO170" s="17">
        <v>1.19</v>
      </c>
      <c r="AP170" s="74">
        <v>1.03</v>
      </c>
      <c r="AQ170" s="74">
        <v>0.16</v>
      </c>
      <c r="AR170" s="74">
        <v>53744.20799999999</v>
      </c>
    </row>
    <row r="171" spans="1:44" ht="12.75">
      <c r="A171" s="6">
        <v>159</v>
      </c>
      <c r="B171" s="80">
        <v>27</v>
      </c>
      <c r="C171" s="81" t="s">
        <v>85</v>
      </c>
      <c r="D171" s="80">
        <v>3497.6</v>
      </c>
      <c r="E171" s="85">
        <v>0.0043165599268064625</v>
      </c>
      <c r="F171" s="82">
        <v>17.595683440073195</v>
      </c>
      <c r="G171" s="82">
        <v>17.6</v>
      </c>
      <c r="H171" s="82">
        <v>738511.9488</v>
      </c>
      <c r="I171" s="5">
        <v>1.86</v>
      </c>
      <c r="J171" s="58">
        <v>78066.432</v>
      </c>
      <c r="K171" s="82">
        <v>0.32</v>
      </c>
      <c r="L171" s="58">
        <v>13430.784</v>
      </c>
      <c r="M171" s="43">
        <v>0.06</v>
      </c>
      <c r="N171" s="58">
        <v>2518.272</v>
      </c>
      <c r="O171" s="83">
        <v>0.02</v>
      </c>
      <c r="P171" s="58">
        <v>839.424</v>
      </c>
      <c r="Q171" s="12">
        <v>0.93</v>
      </c>
      <c r="R171" s="58">
        <v>39033.216</v>
      </c>
      <c r="S171" s="82">
        <v>0.09</v>
      </c>
      <c r="T171" s="58">
        <v>3777.408</v>
      </c>
      <c r="U171" s="82">
        <v>3.88</v>
      </c>
      <c r="V171" s="58">
        <v>162848.256</v>
      </c>
      <c r="W171" s="85">
        <v>0.37168344007319304</v>
      </c>
      <c r="X171" s="58">
        <v>15600</v>
      </c>
      <c r="Y171" s="38"/>
      <c r="Z171" s="58">
        <v>0</v>
      </c>
      <c r="AA171" s="58"/>
      <c r="AB171" s="58"/>
      <c r="AC171" s="169">
        <v>5.31</v>
      </c>
      <c r="AD171" s="58">
        <v>222867.072</v>
      </c>
      <c r="AE171" s="84">
        <v>0</v>
      </c>
      <c r="AF171" s="12">
        <v>0</v>
      </c>
      <c r="AG171" s="84"/>
      <c r="AH171" s="12">
        <v>0</v>
      </c>
      <c r="AI171" s="82"/>
      <c r="AJ171" s="64">
        <v>0</v>
      </c>
      <c r="AK171" s="85">
        <v>0.902</v>
      </c>
      <c r="AL171" s="66">
        <v>37858.0224</v>
      </c>
      <c r="AM171" s="56">
        <v>2.662</v>
      </c>
      <c r="AN171" s="66">
        <v>111727.33439999999</v>
      </c>
      <c r="AO171" s="17">
        <v>1.19</v>
      </c>
      <c r="AP171" s="74">
        <v>1.03</v>
      </c>
      <c r="AQ171" s="74">
        <v>0.16</v>
      </c>
      <c r="AR171" s="74">
        <v>49945.72799999999</v>
      </c>
    </row>
    <row r="172" spans="1:44" ht="12.75">
      <c r="A172" s="6">
        <v>160</v>
      </c>
      <c r="B172" s="80">
        <v>28</v>
      </c>
      <c r="C172" s="81" t="s">
        <v>86</v>
      </c>
      <c r="D172" s="80">
        <v>1221.3</v>
      </c>
      <c r="E172" s="85">
        <v>0.001560468353392963</v>
      </c>
      <c r="F172" s="82">
        <v>17.59843953164661</v>
      </c>
      <c r="G172" s="82">
        <v>17.6</v>
      </c>
      <c r="H172" s="82">
        <v>257915.6904</v>
      </c>
      <c r="I172" s="5">
        <v>1.86</v>
      </c>
      <c r="J172" s="58">
        <v>27259.415999999997</v>
      </c>
      <c r="K172" s="82">
        <v>0.32</v>
      </c>
      <c r="L172" s="58">
        <v>4689.7919999999995</v>
      </c>
      <c r="M172" s="43">
        <v>0.06</v>
      </c>
      <c r="N172" s="58">
        <v>879.3359999999999</v>
      </c>
      <c r="O172" s="83"/>
      <c r="P172" s="58">
        <v>0</v>
      </c>
      <c r="Q172" s="12">
        <v>0.93</v>
      </c>
      <c r="R172" s="58">
        <v>13629.707999999999</v>
      </c>
      <c r="S172" s="82">
        <v>0.09</v>
      </c>
      <c r="T172" s="58">
        <v>1319.004</v>
      </c>
      <c r="U172" s="82">
        <v>3.55</v>
      </c>
      <c r="V172" s="58">
        <v>52027.38</v>
      </c>
      <c r="W172" s="85">
        <v>1.0644395316466062</v>
      </c>
      <c r="X172" s="58">
        <v>15600</v>
      </c>
      <c r="Y172" s="38"/>
      <c r="Z172" s="58">
        <v>0</v>
      </c>
      <c r="AA172" s="58"/>
      <c r="AB172" s="58"/>
      <c r="AC172" s="169">
        <v>4.97</v>
      </c>
      <c r="AD172" s="58">
        <v>72838.33200000001</v>
      </c>
      <c r="AE172" s="84">
        <v>0</v>
      </c>
      <c r="AF172" s="12">
        <v>0</v>
      </c>
      <c r="AG172" s="84"/>
      <c r="AH172" s="12">
        <v>0</v>
      </c>
      <c r="AI172" s="82"/>
      <c r="AJ172" s="64">
        <v>0</v>
      </c>
      <c r="AK172" s="85">
        <v>0.902</v>
      </c>
      <c r="AL172" s="66">
        <v>13219.3512</v>
      </c>
      <c r="AM172" s="56">
        <v>2.662</v>
      </c>
      <c r="AN172" s="66">
        <v>39013.2072</v>
      </c>
      <c r="AO172" s="17">
        <v>1.19</v>
      </c>
      <c r="AP172" s="74">
        <v>1.03</v>
      </c>
      <c r="AQ172" s="74">
        <v>0.16</v>
      </c>
      <c r="AR172" s="74">
        <v>17440.164</v>
      </c>
    </row>
    <row r="173" spans="1:44" ht="12.75">
      <c r="A173" s="6">
        <v>161</v>
      </c>
      <c r="B173" s="80">
        <v>29</v>
      </c>
      <c r="C173" s="81" t="s">
        <v>87</v>
      </c>
      <c r="D173" s="80">
        <v>4210.4</v>
      </c>
      <c r="E173" s="85">
        <v>-0.0027592627778858514</v>
      </c>
      <c r="F173" s="82">
        <v>17.602759262777887</v>
      </c>
      <c r="G173" s="82">
        <v>17.6</v>
      </c>
      <c r="H173" s="82">
        <v>889375.8912000001</v>
      </c>
      <c r="I173" s="5">
        <v>1.86</v>
      </c>
      <c r="J173" s="58">
        <v>93976.128</v>
      </c>
      <c r="K173" s="82">
        <v>0.32</v>
      </c>
      <c r="L173" s="58">
        <v>16167.936</v>
      </c>
      <c r="M173" s="43">
        <v>0.06</v>
      </c>
      <c r="N173" s="58">
        <v>3031.4879999999994</v>
      </c>
      <c r="O173" s="83"/>
      <c r="P173" s="58">
        <v>0</v>
      </c>
      <c r="Q173" s="12">
        <v>0.93</v>
      </c>
      <c r="R173" s="58">
        <v>46988.064</v>
      </c>
      <c r="S173" s="82">
        <v>0.09</v>
      </c>
      <c r="T173" s="58">
        <v>4547.232</v>
      </c>
      <c r="U173" s="82">
        <v>3.85</v>
      </c>
      <c r="V173" s="58">
        <v>194520.48</v>
      </c>
      <c r="W173" s="85">
        <v>0.30875926277788335</v>
      </c>
      <c r="X173" s="58">
        <v>15600</v>
      </c>
      <c r="Y173" s="38"/>
      <c r="Z173" s="58">
        <v>0</v>
      </c>
      <c r="AA173" s="58"/>
      <c r="AB173" s="58"/>
      <c r="AC173" s="169">
        <v>5.43</v>
      </c>
      <c r="AD173" s="58">
        <v>274349.66400000005</v>
      </c>
      <c r="AE173" s="84">
        <v>0</v>
      </c>
      <c r="AF173" s="12">
        <v>0</v>
      </c>
      <c r="AG173" s="84"/>
      <c r="AH173" s="12">
        <v>0</v>
      </c>
      <c r="AI173" s="82"/>
      <c r="AJ173" s="64">
        <v>0</v>
      </c>
      <c r="AK173" s="85">
        <v>0.902</v>
      </c>
      <c r="AL173" s="66">
        <v>45573.3696</v>
      </c>
      <c r="AM173" s="56">
        <v>2.662</v>
      </c>
      <c r="AN173" s="66">
        <v>134497.0176</v>
      </c>
      <c r="AO173" s="17">
        <v>1.19</v>
      </c>
      <c r="AP173" s="74">
        <v>1.03</v>
      </c>
      <c r="AQ173" s="74">
        <v>0.16</v>
      </c>
      <c r="AR173" s="74">
        <v>60124.51199999999</v>
      </c>
    </row>
    <row r="174" spans="1:44" ht="12.75">
      <c r="A174" s="6">
        <v>162</v>
      </c>
      <c r="B174" s="80">
        <v>30</v>
      </c>
      <c r="C174" s="81" t="s">
        <v>88</v>
      </c>
      <c r="D174" s="168">
        <v>1297</v>
      </c>
      <c r="E174" s="85">
        <v>0.0036869699306123493</v>
      </c>
      <c r="F174" s="82">
        <v>17.59631303006939</v>
      </c>
      <c r="G174" s="82">
        <v>17.6</v>
      </c>
      <c r="H174" s="82">
        <v>273869.016</v>
      </c>
      <c r="I174" s="5">
        <v>1.86</v>
      </c>
      <c r="J174" s="58">
        <v>28949.04</v>
      </c>
      <c r="K174" s="82">
        <v>0.32</v>
      </c>
      <c r="L174" s="58">
        <v>4980.48</v>
      </c>
      <c r="M174" s="43">
        <v>0.06</v>
      </c>
      <c r="N174" s="58">
        <v>933.84</v>
      </c>
      <c r="O174" s="83"/>
      <c r="P174" s="58">
        <v>0</v>
      </c>
      <c r="Q174" s="12">
        <v>0.93</v>
      </c>
      <c r="R174" s="58">
        <v>14474.52</v>
      </c>
      <c r="S174" s="82">
        <v>0.09</v>
      </c>
      <c r="T174" s="58">
        <v>1400.76</v>
      </c>
      <c r="U174" s="82">
        <v>3.65</v>
      </c>
      <c r="V174" s="58">
        <v>56808.6</v>
      </c>
      <c r="W174" s="85">
        <v>1.0023130300693908</v>
      </c>
      <c r="X174" s="58">
        <v>15600</v>
      </c>
      <c r="Y174" s="38"/>
      <c r="Z174" s="58">
        <v>0</v>
      </c>
      <c r="AA174" s="58"/>
      <c r="AB174" s="58"/>
      <c r="AC174" s="169">
        <v>4.93</v>
      </c>
      <c r="AD174" s="58">
        <v>76730.52</v>
      </c>
      <c r="AE174" s="84">
        <v>0</v>
      </c>
      <c r="AF174" s="12">
        <v>0</v>
      </c>
      <c r="AG174" s="84"/>
      <c r="AH174" s="12">
        <v>0</v>
      </c>
      <c r="AI174" s="82"/>
      <c r="AJ174" s="64">
        <v>0</v>
      </c>
      <c r="AK174" s="85">
        <v>0.902</v>
      </c>
      <c r="AL174" s="66">
        <v>14038.728</v>
      </c>
      <c r="AM174" s="56">
        <v>2.662</v>
      </c>
      <c r="AN174" s="66">
        <v>41431.368</v>
      </c>
      <c r="AO174" s="17">
        <v>1.19</v>
      </c>
      <c r="AP174" s="74">
        <v>1.03</v>
      </c>
      <c r="AQ174" s="74">
        <v>0.16</v>
      </c>
      <c r="AR174" s="74">
        <v>18521.16</v>
      </c>
    </row>
    <row r="175" spans="1:44" ht="12.75">
      <c r="A175" s="6">
        <v>163</v>
      </c>
      <c r="B175" s="80">
        <v>31</v>
      </c>
      <c r="C175" s="81" t="s">
        <v>89</v>
      </c>
      <c r="D175" s="80">
        <v>1304.8</v>
      </c>
      <c r="E175" s="85">
        <v>-0.00032127529123116005</v>
      </c>
      <c r="F175" s="82">
        <v>17.600321275291233</v>
      </c>
      <c r="G175" s="82">
        <v>17.6</v>
      </c>
      <c r="H175" s="82">
        <v>275578.7904</v>
      </c>
      <c r="I175" s="5">
        <v>1.86</v>
      </c>
      <c r="J175" s="58">
        <v>29123.136</v>
      </c>
      <c r="K175" s="82">
        <v>0.32</v>
      </c>
      <c r="L175" s="58">
        <v>5010.432</v>
      </c>
      <c r="M175" s="43">
        <v>0.06</v>
      </c>
      <c r="N175" s="58">
        <v>939.4559999999999</v>
      </c>
      <c r="O175" s="83">
        <v>0.05</v>
      </c>
      <c r="P175" s="58">
        <v>782.88</v>
      </c>
      <c r="Q175" s="12">
        <v>0.93</v>
      </c>
      <c r="R175" s="58">
        <v>14561.568</v>
      </c>
      <c r="S175" s="82">
        <v>0.09</v>
      </c>
      <c r="T175" s="58">
        <v>1409.1839999999997</v>
      </c>
      <c r="U175" s="82">
        <v>3.91</v>
      </c>
      <c r="V175" s="58">
        <v>61221.215999999986</v>
      </c>
      <c r="W175" s="85">
        <v>0.9963212752912324</v>
      </c>
      <c r="X175" s="58">
        <v>15600</v>
      </c>
      <c r="Y175" s="38"/>
      <c r="Z175" s="58">
        <v>0</v>
      </c>
      <c r="AA175" s="58"/>
      <c r="AB175" s="58"/>
      <c r="AC175" s="169">
        <v>4.63</v>
      </c>
      <c r="AD175" s="58">
        <v>72494.68800000001</v>
      </c>
      <c r="AE175" s="84">
        <v>0</v>
      </c>
      <c r="AF175" s="12">
        <v>0</v>
      </c>
      <c r="AG175" s="84"/>
      <c r="AH175" s="12">
        <v>0</v>
      </c>
      <c r="AI175" s="82"/>
      <c r="AJ175" s="64">
        <v>0</v>
      </c>
      <c r="AK175" s="85">
        <v>0.902</v>
      </c>
      <c r="AL175" s="66">
        <v>14123.1552</v>
      </c>
      <c r="AM175" s="56">
        <v>2.662</v>
      </c>
      <c r="AN175" s="66">
        <v>41680.5312</v>
      </c>
      <c r="AO175" s="17">
        <v>1.19</v>
      </c>
      <c r="AP175" s="74">
        <v>1.03</v>
      </c>
      <c r="AQ175" s="74">
        <v>0.16</v>
      </c>
      <c r="AR175" s="74">
        <v>18632.544</v>
      </c>
    </row>
    <row r="176" spans="1:44" ht="12.75">
      <c r="A176" s="6">
        <v>164</v>
      </c>
      <c r="B176" s="80">
        <v>32</v>
      </c>
      <c r="C176" s="81" t="s">
        <v>187</v>
      </c>
      <c r="D176" s="43">
        <v>2025.1</v>
      </c>
      <c r="E176" s="85">
        <v>0.0021972248284036766</v>
      </c>
      <c r="F176" s="82">
        <v>17.597802775171598</v>
      </c>
      <c r="G176" s="82">
        <v>17.6</v>
      </c>
      <c r="H176" s="82">
        <v>427647.7248</v>
      </c>
      <c r="I176" s="5">
        <v>1.86</v>
      </c>
      <c r="J176" s="58">
        <v>45200.232</v>
      </c>
      <c r="K176" s="82">
        <v>0.32</v>
      </c>
      <c r="L176" s="58">
        <v>7776.384</v>
      </c>
      <c r="M176" s="43">
        <v>0.06</v>
      </c>
      <c r="N176" s="58">
        <v>1458.072</v>
      </c>
      <c r="O176" s="83"/>
      <c r="P176" s="58">
        <v>0</v>
      </c>
      <c r="Q176" s="12">
        <v>0.93</v>
      </c>
      <c r="R176" s="58">
        <v>22600.116</v>
      </c>
      <c r="S176" s="82">
        <v>0.09</v>
      </c>
      <c r="T176" s="58">
        <v>2187.1079999999997</v>
      </c>
      <c r="U176" s="82">
        <v>4.56</v>
      </c>
      <c r="V176" s="58">
        <v>110813.47200000001</v>
      </c>
      <c r="W176" s="85">
        <v>0.4938027751715965</v>
      </c>
      <c r="X176" s="58">
        <v>12000</v>
      </c>
      <c r="Y176" s="38"/>
      <c r="Z176" s="58">
        <v>0</v>
      </c>
      <c r="AA176" s="58"/>
      <c r="AB176" s="58"/>
      <c r="AC176" s="169">
        <v>4.53</v>
      </c>
      <c r="AD176" s="58">
        <v>110084.43599999999</v>
      </c>
      <c r="AE176" s="84">
        <v>0</v>
      </c>
      <c r="AF176" s="12">
        <v>0</v>
      </c>
      <c r="AG176" s="84"/>
      <c r="AH176" s="12">
        <v>0</v>
      </c>
      <c r="AI176" s="82"/>
      <c r="AJ176" s="64">
        <v>0</v>
      </c>
      <c r="AK176" s="85">
        <v>0.902</v>
      </c>
      <c r="AL176" s="66">
        <v>21919.6824</v>
      </c>
      <c r="AM176" s="56">
        <v>2.662</v>
      </c>
      <c r="AN176" s="66">
        <v>64689.79439999999</v>
      </c>
      <c r="AO176" s="17">
        <v>1.19</v>
      </c>
      <c r="AP176" s="74">
        <v>1.03</v>
      </c>
      <c r="AQ176" s="74">
        <v>0.16</v>
      </c>
      <c r="AR176" s="74">
        <v>28918.427999999996</v>
      </c>
    </row>
    <row r="177" spans="1:44" ht="12.75">
      <c r="A177" s="6">
        <v>165</v>
      </c>
      <c r="B177" s="80">
        <v>33</v>
      </c>
      <c r="C177" s="38" t="s">
        <v>255</v>
      </c>
      <c r="D177" s="38">
        <v>1582.6</v>
      </c>
      <c r="E177" s="85">
        <v>0.0025348161253653245</v>
      </c>
      <c r="F177" s="82">
        <v>19.387465183874635</v>
      </c>
      <c r="G177" s="82">
        <v>19.39</v>
      </c>
      <c r="H177" s="82">
        <v>337029.83479999995</v>
      </c>
      <c r="I177" s="5">
        <v>1.86</v>
      </c>
      <c r="J177" s="58">
        <v>35323.632</v>
      </c>
      <c r="K177" s="80">
        <v>0.32</v>
      </c>
      <c r="L177" s="58">
        <v>6077.183999999999</v>
      </c>
      <c r="M177" s="85">
        <v>0</v>
      </c>
      <c r="N177" s="58">
        <v>0</v>
      </c>
      <c r="O177" s="85">
        <v>0</v>
      </c>
      <c r="P177" s="58">
        <v>0</v>
      </c>
      <c r="Q177" s="80">
        <v>0.93</v>
      </c>
      <c r="R177" s="58">
        <v>17661.816</v>
      </c>
      <c r="S177" s="80">
        <v>0.09</v>
      </c>
      <c r="T177" s="58">
        <v>1709.208</v>
      </c>
      <c r="U177" s="82">
        <v>7.73</v>
      </c>
      <c r="V177" s="58">
        <v>146801.976</v>
      </c>
      <c r="W177" s="85">
        <v>0.6634651838746367</v>
      </c>
      <c r="X177" s="58">
        <v>12600</v>
      </c>
      <c r="Y177" s="82">
        <v>0.45</v>
      </c>
      <c r="Z177" s="58">
        <v>8546.04</v>
      </c>
      <c r="AA177" s="58"/>
      <c r="AB177" s="58"/>
      <c r="AC177" s="169">
        <v>0.8</v>
      </c>
      <c r="AD177" s="58">
        <v>15192.96</v>
      </c>
      <c r="AE177" s="85">
        <v>0</v>
      </c>
      <c r="AF177" s="12">
        <v>0</v>
      </c>
      <c r="AG177" s="85"/>
      <c r="AH177" s="12">
        <v>0</v>
      </c>
      <c r="AI177" s="82">
        <v>1.79</v>
      </c>
      <c r="AJ177" s="64">
        <v>2832.854</v>
      </c>
      <c r="AK177" s="85">
        <v>0.902</v>
      </c>
      <c r="AL177" s="66">
        <v>17130.062400000003</v>
      </c>
      <c r="AM177" s="56">
        <v>2.662</v>
      </c>
      <c r="AN177" s="66">
        <v>50554.5744</v>
      </c>
      <c r="AO177" s="17">
        <v>1.19</v>
      </c>
      <c r="AP177" s="74">
        <v>1.03</v>
      </c>
      <c r="AQ177" s="74">
        <v>0.16</v>
      </c>
      <c r="AR177" s="74">
        <v>22599.528</v>
      </c>
    </row>
    <row r="178" spans="1:44" ht="12.75">
      <c r="A178" s="6">
        <v>166</v>
      </c>
      <c r="B178" s="80">
        <v>34</v>
      </c>
      <c r="C178" s="81" t="s">
        <v>90</v>
      </c>
      <c r="D178" s="168">
        <v>4035.6</v>
      </c>
      <c r="E178" s="85">
        <v>-0.001794627812468974</v>
      </c>
      <c r="F178" s="82">
        <v>17.60179462781247</v>
      </c>
      <c r="G178" s="82">
        <v>17.6</v>
      </c>
      <c r="H178" s="82">
        <v>852405.6288000001</v>
      </c>
      <c r="I178" s="5">
        <v>1.86</v>
      </c>
      <c r="J178" s="58">
        <v>90074.592</v>
      </c>
      <c r="K178" s="82">
        <v>0.32</v>
      </c>
      <c r="L178" s="58">
        <v>15496.704000000002</v>
      </c>
      <c r="M178" s="43">
        <v>0.06</v>
      </c>
      <c r="N178" s="58">
        <v>2905.632</v>
      </c>
      <c r="O178" s="83">
        <v>0.05</v>
      </c>
      <c r="P178" s="58">
        <v>2421.36</v>
      </c>
      <c r="Q178" s="12">
        <v>0.93</v>
      </c>
      <c r="R178" s="58">
        <v>45037.296</v>
      </c>
      <c r="S178" s="82">
        <v>0.09</v>
      </c>
      <c r="T178" s="58">
        <v>4358.447999999999</v>
      </c>
      <c r="U178" s="82">
        <v>4</v>
      </c>
      <c r="V178" s="58">
        <v>193708.8</v>
      </c>
      <c r="W178" s="85">
        <v>0.24779462781246905</v>
      </c>
      <c r="X178" s="58">
        <v>12000</v>
      </c>
      <c r="Y178" s="38"/>
      <c r="Z178" s="58">
        <v>0</v>
      </c>
      <c r="AA178" s="58"/>
      <c r="AB178" s="58"/>
      <c r="AC178" s="169">
        <v>5.29</v>
      </c>
      <c r="AD178" s="58">
        <v>256179.888</v>
      </c>
      <c r="AE178" s="84">
        <v>0</v>
      </c>
      <c r="AF178" s="12">
        <v>0</v>
      </c>
      <c r="AG178" s="84"/>
      <c r="AH178" s="12">
        <v>0</v>
      </c>
      <c r="AI178" s="82"/>
      <c r="AJ178" s="64">
        <v>0</v>
      </c>
      <c r="AK178" s="85">
        <v>0.902</v>
      </c>
      <c r="AL178" s="66">
        <v>43681.3344</v>
      </c>
      <c r="AM178" s="56">
        <v>2.662</v>
      </c>
      <c r="AN178" s="66">
        <v>128913.2064</v>
      </c>
      <c r="AO178" s="17">
        <v>1.19</v>
      </c>
      <c r="AP178" s="74">
        <v>1.03</v>
      </c>
      <c r="AQ178" s="74">
        <v>0.16</v>
      </c>
      <c r="AR178" s="74">
        <v>57628.367999999995</v>
      </c>
    </row>
    <row r="179" spans="1:44" ht="12.75">
      <c r="A179" s="6">
        <v>167</v>
      </c>
      <c r="B179" s="80">
        <v>35</v>
      </c>
      <c r="C179" s="81" t="s">
        <v>91</v>
      </c>
      <c r="D179" s="80">
        <v>2056.5</v>
      </c>
      <c r="E179" s="85">
        <v>0.0038580111840502695</v>
      </c>
      <c r="F179" s="82">
        <v>17.59614198881595</v>
      </c>
      <c r="G179" s="82">
        <v>17.6</v>
      </c>
      <c r="H179" s="82">
        <v>434237.592</v>
      </c>
      <c r="I179" s="5">
        <v>1.86</v>
      </c>
      <c r="J179" s="58">
        <v>45901.08</v>
      </c>
      <c r="K179" s="82">
        <v>0.32</v>
      </c>
      <c r="L179" s="58">
        <v>7896.96</v>
      </c>
      <c r="M179" s="83">
        <v>0.06</v>
      </c>
      <c r="N179" s="58">
        <v>1480.68</v>
      </c>
      <c r="O179" s="83">
        <v>0.1</v>
      </c>
      <c r="P179" s="58">
        <v>2467.8</v>
      </c>
      <c r="Q179" s="82">
        <v>0.93</v>
      </c>
      <c r="R179" s="58">
        <v>22950.54</v>
      </c>
      <c r="S179" s="82">
        <v>0.09</v>
      </c>
      <c r="T179" s="58">
        <v>2221.02</v>
      </c>
      <c r="U179" s="82">
        <v>4.39</v>
      </c>
      <c r="V179" s="58">
        <v>108336.42</v>
      </c>
      <c r="W179" s="85">
        <v>0.6321419888159494</v>
      </c>
      <c r="X179" s="58">
        <v>15600</v>
      </c>
      <c r="Y179" s="38"/>
      <c r="Z179" s="58">
        <v>0</v>
      </c>
      <c r="AA179" s="58"/>
      <c r="AB179" s="58"/>
      <c r="AC179" s="169">
        <v>4.46</v>
      </c>
      <c r="AD179" s="58">
        <v>110063.88</v>
      </c>
      <c r="AE179" s="83">
        <v>0</v>
      </c>
      <c r="AF179" s="12">
        <v>0</v>
      </c>
      <c r="AG179" s="83"/>
      <c r="AH179" s="12">
        <v>0</v>
      </c>
      <c r="AI179" s="82"/>
      <c r="AJ179" s="64">
        <v>0</v>
      </c>
      <c r="AK179" s="85">
        <v>0.902</v>
      </c>
      <c r="AL179" s="66">
        <v>22259.556</v>
      </c>
      <c r="AM179" s="56">
        <v>2.662</v>
      </c>
      <c r="AN179" s="66">
        <v>65692.83600000001</v>
      </c>
      <c r="AO179" s="17">
        <v>1.19</v>
      </c>
      <c r="AP179" s="74">
        <v>1.03</v>
      </c>
      <c r="AQ179" s="74">
        <v>0.16</v>
      </c>
      <c r="AR179" s="74">
        <v>29366.82</v>
      </c>
    </row>
    <row r="180" spans="1:44" ht="12.75">
      <c r="A180" s="6">
        <v>168</v>
      </c>
      <c r="B180" s="80">
        <v>36</v>
      </c>
      <c r="C180" s="81" t="s">
        <v>92</v>
      </c>
      <c r="D180" s="43">
        <v>2026.4</v>
      </c>
      <c r="E180" s="85">
        <v>0.004468219502570037</v>
      </c>
      <c r="F180" s="82">
        <v>17.59553178049743</v>
      </c>
      <c r="G180" s="82">
        <v>17.6</v>
      </c>
      <c r="H180" s="82">
        <v>427867.02720000007</v>
      </c>
      <c r="I180" s="5">
        <v>1.86</v>
      </c>
      <c r="J180" s="58">
        <v>45229.24800000001</v>
      </c>
      <c r="K180" s="82">
        <v>0.32</v>
      </c>
      <c r="L180" s="58">
        <v>7781.376000000001</v>
      </c>
      <c r="M180" s="43">
        <v>0.06</v>
      </c>
      <c r="N180" s="58">
        <v>1459.008</v>
      </c>
      <c r="O180" s="83">
        <v>0.1</v>
      </c>
      <c r="P180" s="58">
        <v>2431.68</v>
      </c>
      <c r="Q180" s="12">
        <v>0.93</v>
      </c>
      <c r="R180" s="58">
        <v>22614.624000000003</v>
      </c>
      <c r="S180" s="82">
        <v>0.09</v>
      </c>
      <c r="T180" s="58">
        <v>2188.512</v>
      </c>
      <c r="U180" s="82">
        <v>3.66</v>
      </c>
      <c r="V180" s="58">
        <v>88999.48800000001</v>
      </c>
      <c r="W180" s="85">
        <v>0.6415317804974339</v>
      </c>
      <c r="X180" s="58">
        <v>15600</v>
      </c>
      <c r="Y180" s="38"/>
      <c r="Z180" s="58">
        <v>0</v>
      </c>
      <c r="AA180" s="58"/>
      <c r="AB180" s="58"/>
      <c r="AC180" s="169">
        <v>5.18</v>
      </c>
      <c r="AD180" s="58">
        <v>125961.024</v>
      </c>
      <c r="AE180" s="84">
        <v>0</v>
      </c>
      <c r="AF180" s="12">
        <v>0</v>
      </c>
      <c r="AG180" s="84"/>
      <c r="AH180" s="12">
        <v>0</v>
      </c>
      <c r="AI180" s="82"/>
      <c r="AJ180" s="64">
        <v>0</v>
      </c>
      <c r="AK180" s="85">
        <v>0.902</v>
      </c>
      <c r="AL180" s="66">
        <v>21933.753600000004</v>
      </c>
      <c r="AM180" s="56">
        <v>2.662</v>
      </c>
      <c r="AN180" s="66">
        <v>64731.321599999996</v>
      </c>
      <c r="AO180" s="17">
        <v>1.19</v>
      </c>
      <c r="AP180" s="74">
        <v>1.03</v>
      </c>
      <c r="AQ180" s="74">
        <v>0.16</v>
      </c>
      <c r="AR180" s="74">
        <v>28936.992000000002</v>
      </c>
    </row>
    <row r="181" spans="1:44" ht="12.75">
      <c r="A181" s="6">
        <v>169</v>
      </c>
      <c r="B181" s="80">
        <v>37</v>
      </c>
      <c r="C181" s="81" t="s">
        <v>218</v>
      </c>
      <c r="D181" s="43">
        <v>2227.6</v>
      </c>
      <c r="E181" s="85">
        <v>-0.0029136290177760316</v>
      </c>
      <c r="F181" s="82">
        <v>17.602913629017777</v>
      </c>
      <c r="G181" s="82">
        <v>17.6</v>
      </c>
      <c r="H181" s="82">
        <v>470547.0048</v>
      </c>
      <c r="I181" s="5">
        <v>1.86</v>
      </c>
      <c r="J181" s="58">
        <v>49720.03200000001</v>
      </c>
      <c r="K181" s="82">
        <v>0.32</v>
      </c>
      <c r="L181" s="58">
        <v>8553.984</v>
      </c>
      <c r="M181" s="43">
        <v>0.06</v>
      </c>
      <c r="N181" s="58">
        <v>1603.8719999999998</v>
      </c>
      <c r="O181" s="83">
        <v>0.1</v>
      </c>
      <c r="P181" s="58">
        <v>2673.12</v>
      </c>
      <c r="Q181" s="12">
        <v>0.93</v>
      </c>
      <c r="R181" s="58">
        <v>24860.016000000003</v>
      </c>
      <c r="S181" s="82">
        <v>0.09</v>
      </c>
      <c r="T181" s="58">
        <v>2405.808</v>
      </c>
      <c r="U181" s="82">
        <v>4.42</v>
      </c>
      <c r="V181" s="58">
        <v>118151.90400000001</v>
      </c>
      <c r="W181" s="85">
        <v>0.44891362901777704</v>
      </c>
      <c r="X181" s="58">
        <v>12000</v>
      </c>
      <c r="Y181" s="38"/>
      <c r="Z181" s="58">
        <v>0</v>
      </c>
      <c r="AA181" s="58"/>
      <c r="AB181" s="58"/>
      <c r="AC181" s="169">
        <v>4.62</v>
      </c>
      <c r="AD181" s="58">
        <v>123498.144</v>
      </c>
      <c r="AE181" s="84">
        <v>0</v>
      </c>
      <c r="AF181" s="12">
        <v>0</v>
      </c>
      <c r="AG181" s="84"/>
      <c r="AH181" s="12">
        <v>0</v>
      </c>
      <c r="AI181" s="82"/>
      <c r="AJ181" s="64">
        <v>0</v>
      </c>
      <c r="AK181" s="85">
        <v>0.902</v>
      </c>
      <c r="AL181" s="66">
        <v>24111.5424</v>
      </c>
      <c r="AM181" s="56">
        <v>2.662</v>
      </c>
      <c r="AN181" s="66">
        <v>71158.45439999999</v>
      </c>
      <c r="AO181" s="17">
        <v>1.19</v>
      </c>
      <c r="AP181" s="74">
        <v>1.03</v>
      </c>
      <c r="AQ181" s="74">
        <v>0.16</v>
      </c>
      <c r="AR181" s="74">
        <v>31810.127999999997</v>
      </c>
    </row>
    <row r="182" spans="1:44" ht="12.75">
      <c r="A182" s="6">
        <v>170</v>
      </c>
      <c r="B182" s="80">
        <v>38</v>
      </c>
      <c r="C182" s="81" t="s">
        <v>93</v>
      </c>
      <c r="D182" s="43">
        <v>4252.9</v>
      </c>
      <c r="E182" s="85">
        <v>0.0003262244586004215</v>
      </c>
      <c r="F182" s="82">
        <v>17.5996737755414</v>
      </c>
      <c r="G182" s="82">
        <v>17.6</v>
      </c>
      <c r="H182" s="82">
        <v>898195.8312</v>
      </c>
      <c r="I182" s="5">
        <v>1.86</v>
      </c>
      <c r="J182" s="58">
        <v>94924.72799999999</v>
      </c>
      <c r="K182" s="82">
        <v>0.32</v>
      </c>
      <c r="L182" s="58">
        <v>16331.135999999999</v>
      </c>
      <c r="M182" s="43">
        <v>0.06</v>
      </c>
      <c r="N182" s="58">
        <v>3062.0879999999997</v>
      </c>
      <c r="O182" s="83"/>
      <c r="P182" s="58">
        <v>0</v>
      </c>
      <c r="Q182" s="12">
        <v>0.93</v>
      </c>
      <c r="R182" s="58">
        <v>47462.363999999994</v>
      </c>
      <c r="S182" s="82">
        <v>0.09</v>
      </c>
      <c r="T182" s="58">
        <v>4593.132</v>
      </c>
      <c r="U182" s="82">
        <v>4.8</v>
      </c>
      <c r="V182" s="58">
        <v>244967.04</v>
      </c>
      <c r="W182" s="85">
        <v>0.3056737755413953</v>
      </c>
      <c r="X182" s="58">
        <v>15600</v>
      </c>
      <c r="Y182" s="38"/>
      <c r="Z182" s="58">
        <v>0</v>
      </c>
      <c r="AA182" s="58"/>
      <c r="AB182" s="58"/>
      <c r="AC182" s="169">
        <v>4.48</v>
      </c>
      <c r="AD182" s="58">
        <v>228635.90399999998</v>
      </c>
      <c r="AE182" s="84">
        <v>0</v>
      </c>
      <c r="AF182" s="12">
        <v>0</v>
      </c>
      <c r="AG182" s="84"/>
      <c r="AH182" s="12">
        <v>0</v>
      </c>
      <c r="AI182" s="82"/>
      <c r="AJ182" s="64">
        <v>0</v>
      </c>
      <c r="AK182" s="85">
        <v>0.902</v>
      </c>
      <c r="AL182" s="66">
        <v>46033.389599999995</v>
      </c>
      <c r="AM182" s="56">
        <v>2.662</v>
      </c>
      <c r="AN182" s="66">
        <v>135854.6376</v>
      </c>
      <c r="AO182" s="17">
        <v>1.19</v>
      </c>
      <c r="AP182" s="74">
        <v>1.03</v>
      </c>
      <c r="AQ182" s="74">
        <v>0.16</v>
      </c>
      <c r="AR182" s="74">
        <v>60731.41199999999</v>
      </c>
    </row>
    <row r="183" spans="1:44" ht="12.75">
      <c r="A183" s="6">
        <v>171</v>
      </c>
      <c r="B183" s="80">
        <v>39</v>
      </c>
      <c r="C183" s="81" t="s">
        <v>219</v>
      </c>
      <c r="D183" s="43">
        <v>2240.6</v>
      </c>
      <c r="E183" s="85">
        <v>-0.004201731679010834</v>
      </c>
      <c r="F183" s="82">
        <v>17.604201731679012</v>
      </c>
      <c r="G183" s="82">
        <v>17.6</v>
      </c>
      <c r="H183" s="82">
        <v>473327.69279999996</v>
      </c>
      <c r="I183" s="5">
        <v>1.86</v>
      </c>
      <c r="J183" s="58">
        <v>50010.191999999995</v>
      </c>
      <c r="K183" s="82">
        <v>0.32</v>
      </c>
      <c r="L183" s="58">
        <v>8603.903999999999</v>
      </c>
      <c r="M183" s="43">
        <v>0.06</v>
      </c>
      <c r="N183" s="58">
        <v>1613.2319999999997</v>
      </c>
      <c r="O183" s="83"/>
      <c r="P183" s="58">
        <v>0</v>
      </c>
      <c r="Q183" s="12">
        <v>0.93</v>
      </c>
      <c r="R183" s="58">
        <v>25005.095999999998</v>
      </c>
      <c r="S183" s="82">
        <v>0.09</v>
      </c>
      <c r="T183" s="58">
        <v>2419.848</v>
      </c>
      <c r="U183" s="82">
        <v>3.74</v>
      </c>
      <c r="V183" s="58">
        <v>100558.128</v>
      </c>
      <c r="W183" s="85">
        <v>0.5802017316790146</v>
      </c>
      <c r="X183" s="58">
        <v>15600</v>
      </c>
      <c r="Y183" s="38"/>
      <c r="Z183" s="58">
        <v>0</v>
      </c>
      <c r="AA183" s="58"/>
      <c r="AB183" s="58"/>
      <c r="AC183" s="169">
        <v>5.27</v>
      </c>
      <c r="AD183" s="58">
        <v>141695.54400000002</v>
      </c>
      <c r="AE183" s="84">
        <v>0</v>
      </c>
      <c r="AF183" s="12">
        <v>0</v>
      </c>
      <c r="AG183" s="84"/>
      <c r="AH183" s="12">
        <v>0</v>
      </c>
      <c r="AI183" s="82"/>
      <c r="AJ183" s="64">
        <v>0</v>
      </c>
      <c r="AK183" s="85">
        <v>0.902</v>
      </c>
      <c r="AL183" s="66">
        <v>24252.254399999998</v>
      </c>
      <c r="AM183" s="56">
        <v>2.662</v>
      </c>
      <c r="AN183" s="66">
        <v>71573.72639999999</v>
      </c>
      <c r="AO183" s="17">
        <v>1.19</v>
      </c>
      <c r="AP183" s="74">
        <v>1.03</v>
      </c>
      <c r="AQ183" s="74">
        <v>0.16</v>
      </c>
      <c r="AR183" s="74">
        <v>31995.767999999996</v>
      </c>
    </row>
    <row r="184" spans="1:44" ht="12.75">
      <c r="A184" s="6">
        <v>172</v>
      </c>
      <c r="B184" s="80">
        <v>40</v>
      </c>
      <c r="C184" s="81" t="s">
        <v>94</v>
      </c>
      <c r="D184" s="170">
        <v>2086</v>
      </c>
      <c r="E184" s="85">
        <v>0.0027976989453506462</v>
      </c>
      <c r="F184" s="82">
        <v>17.59720230105465</v>
      </c>
      <c r="G184" s="82">
        <v>17.6</v>
      </c>
      <c r="H184" s="82">
        <v>440493.16800000006</v>
      </c>
      <c r="I184" s="5">
        <v>1.86</v>
      </c>
      <c r="J184" s="58">
        <v>46559.52</v>
      </c>
      <c r="K184" s="82">
        <v>0.32</v>
      </c>
      <c r="L184" s="58">
        <v>8010.24</v>
      </c>
      <c r="M184" s="43">
        <v>0.06</v>
      </c>
      <c r="N184" s="58">
        <v>1501.92</v>
      </c>
      <c r="O184" s="83">
        <v>0.05</v>
      </c>
      <c r="P184" s="58">
        <v>1251.6</v>
      </c>
      <c r="Q184" s="12">
        <v>0.93</v>
      </c>
      <c r="R184" s="58">
        <v>23279.76</v>
      </c>
      <c r="S184" s="82">
        <v>0.09</v>
      </c>
      <c r="T184" s="58">
        <v>2252.88</v>
      </c>
      <c r="U184" s="82">
        <v>3.35</v>
      </c>
      <c r="V184" s="58">
        <v>83857.2</v>
      </c>
      <c r="W184" s="85">
        <v>0.62320230105465</v>
      </c>
      <c r="X184" s="58">
        <v>15600</v>
      </c>
      <c r="Y184" s="38"/>
      <c r="Z184" s="58">
        <v>0</v>
      </c>
      <c r="AA184" s="58"/>
      <c r="AB184" s="58"/>
      <c r="AC184" s="169">
        <v>5.56</v>
      </c>
      <c r="AD184" s="58">
        <v>139177.92</v>
      </c>
      <c r="AE184" s="84">
        <v>0</v>
      </c>
      <c r="AF184" s="12">
        <v>0</v>
      </c>
      <c r="AG184" s="84"/>
      <c r="AH184" s="12">
        <v>0</v>
      </c>
      <c r="AI184" s="82"/>
      <c r="AJ184" s="64">
        <v>0</v>
      </c>
      <c r="AK184" s="85">
        <v>0.902</v>
      </c>
      <c r="AL184" s="66">
        <v>22578.864</v>
      </c>
      <c r="AM184" s="56">
        <v>2.662</v>
      </c>
      <c r="AN184" s="66">
        <v>66635.184</v>
      </c>
      <c r="AO184" s="17">
        <v>1.19</v>
      </c>
      <c r="AP184" s="74">
        <v>1.03</v>
      </c>
      <c r="AQ184" s="74">
        <v>0.16</v>
      </c>
      <c r="AR184" s="74">
        <v>29788.08</v>
      </c>
    </row>
    <row r="185" spans="1:44" ht="12.75">
      <c r="A185" s="6">
        <v>173</v>
      </c>
      <c r="B185" s="80">
        <v>41</v>
      </c>
      <c r="C185" s="81" t="s">
        <v>220</v>
      </c>
      <c r="D185" s="170">
        <v>1306</v>
      </c>
      <c r="E185" s="85">
        <v>0.0005941807044429481</v>
      </c>
      <c r="F185" s="82">
        <v>17.59940581929556</v>
      </c>
      <c r="G185" s="82">
        <v>17.6</v>
      </c>
      <c r="H185" s="82">
        <v>275817.88800000004</v>
      </c>
      <c r="I185" s="5">
        <v>1.86</v>
      </c>
      <c r="J185" s="58">
        <v>29149.92</v>
      </c>
      <c r="K185" s="82">
        <v>0.32</v>
      </c>
      <c r="L185" s="58">
        <v>5015.04</v>
      </c>
      <c r="M185" s="43">
        <v>0.06</v>
      </c>
      <c r="N185" s="58">
        <v>940.32</v>
      </c>
      <c r="O185" s="83">
        <v>0.05</v>
      </c>
      <c r="P185" s="58">
        <v>783.6</v>
      </c>
      <c r="Q185" s="12">
        <v>0.93</v>
      </c>
      <c r="R185" s="58">
        <v>14574.96</v>
      </c>
      <c r="S185" s="82">
        <v>0.09</v>
      </c>
      <c r="T185" s="58">
        <v>1410.48</v>
      </c>
      <c r="U185" s="82">
        <v>4.08</v>
      </c>
      <c r="V185" s="58">
        <v>63941.76</v>
      </c>
      <c r="W185" s="85">
        <v>0.9954058192955589</v>
      </c>
      <c r="X185" s="58">
        <v>15600</v>
      </c>
      <c r="Y185" s="38"/>
      <c r="Z185" s="58">
        <v>0</v>
      </c>
      <c r="AA185" s="58"/>
      <c r="AB185" s="58"/>
      <c r="AC185" s="169">
        <v>4.46</v>
      </c>
      <c r="AD185" s="58">
        <v>69897.12</v>
      </c>
      <c r="AE185" s="84">
        <v>0</v>
      </c>
      <c r="AF185" s="12">
        <v>0</v>
      </c>
      <c r="AG185" s="84"/>
      <c r="AH185" s="12">
        <v>0</v>
      </c>
      <c r="AI185" s="82"/>
      <c r="AJ185" s="64">
        <v>0</v>
      </c>
      <c r="AK185" s="85">
        <v>0.902</v>
      </c>
      <c r="AL185" s="66">
        <v>14136.144</v>
      </c>
      <c r="AM185" s="56">
        <v>2.662</v>
      </c>
      <c r="AN185" s="66">
        <v>41718.864</v>
      </c>
      <c r="AO185" s="17">
        <v>1.19</v>
      </c>
      <c r="AP185" s="74">
        <v>1.03</v>
      </c>
      <c r="AQ185" s="74">
        <v>0.16</v>
      </c>
      <c r="AR185" s="74">
        <v>18649.68</v>
      </c>
    </row>
    <row r="186" spans="1:44" ht="12.75">
      <c r="A186" s="6">
        <v>174</v>
      </c>
      <c r="B186" s="80">
        <v>42</v>
      </c>
      <c r="C186" s="81" t="s">
        <v>221</v>
      </c>
      <c r="D186" s="43">
        <v>1314.9</v>
      </c>
      <c r="E186" s="85">
        <v>-0.0026683397977009804</v>
      </c>
      <c r="F186" s="82">
        <v>17.602668339797702</v>
      </c>
      <c r="G186" s="82">
        <v>17.6</v>
      </c>
      <c r="H186" s="82">
        <v>277748.9832</v>
      </c>
      <c r="I186" s="5">
        <v>1.86</v>
      </c>
      <c r="J186" s="58">
        <v>29348.568000000007</v>
      </c>
      <c r="K186" s="82">
        <v>0.32</v>
      </c>
      <c r="L186" s="58">
        <v>5049.216</v>
      </c>
      <c r="M186" s="43">
        <v>0.06</v>
      </c>
      <c r="N186" s="58">
        <v>946.7280000000001</v>
      </c>
      <c r="O186" s="83"/>
      <c r="P186" s="58">
        <v>0</v>
      </c>
      <c r="Q186" s="12">
        <v>0.93</v>
      </c>
      <c r="R186" s="58">
        <v>14674.284000000003</v>
      </c>
      <c r="S186" s="82">
        <v>0.09</v>
      </c>
      <c r="T186" s="58">
        <v>1420.092</v>
      </c>
      <c r="U186" s="82">
        <v>4.31</v>
      </c>
      <c r="V186" s="58">
        <v>68006.628</v>
      </c>
      <c r="W186" s="85">
        <v>0.9886683397977031</v>
      </c>
      <c r="X186" s="58">
        <v>15600</v>
      </c>
      <c r="Y186" s="38"/>
      <c r="Z186" s="58">
        <v>0</v>
      </c>
      <c r="AA186" s="58"/>
      <c r="AB186" s="58"/>
      <c r="AC186" s="169">
        <v>4.29</v>
      </c>
      <c r="AD186" s="58">
        <v>67691.052</v>
      </c>
      <c r="AE186" s="84">
        <v>0</v>
      </c>
      <c r="AF186" s="12">
        <v>0</v>
      </c>
      <c r="AG186" s="84"/>
      <c r="AH186" s="12">
        <v>0</v>
      </c>
      <c r="AI186" s="82"/>
      <c r="AJ186" s="64">
        <v>0</v>
      </c>
      <c r="AK186" s="85">
        <v>0.902</v>
      </c>
      <c r="AL186" s="66">
        <v>14232.4776</v>
      </c>
      <c r="AM186" s="56">
        <v>2.662</v>
      </c>
      <c r="AN186" s="66">
        <v>42003.1656</v>
      </c>
      <c r="AO186" s="17">
        <v>1.19</v>
      </c>
      <c r="AP186" s="74">
        <v>1.03</v>
      </c>
      <c r="AQ186" s="74">
        <v>0.16</v>
      </c>
      <c r="AR186" s="74">
        <v>18776.772</v>
      </c>
    </row>
    <row r="187" spans="1:44" ht="12.75">
      <c r="A187" s="6">
        <v>175</v>
      </c>
      <c r="B187" s="80">
        <v>43</v>
      </c>
      <c r="C187" s="81" t="s">
        <v>95</v>
      </c>
      <c r="D187" s="43">
        <v>5743.2</v>
      </c>
      <c r="E187" s="85">
        <v>0.0018810419278452173</v>
      </c>
      <c r="F187" s="82">
        <v>17.598118958072156</v>
      </c>
      <c r="G187" s="82">
        <v>17.6</v>
      </c>
      <c r="H187" s="82">
        <v>1212834.2016</v>
      </c>
      <c r="I187" s="5">
        <v>1.86</v>
      </c>
      <c r="J187" s="58">
        <v>128188.22400000002</v>
      </c>
      <c r="K187" s="82">
        <v>0.32</v>
      </c>
      <c r="L187" s="58">
        <v>22053.888</v>
      </c>
      <c r="M187" s="43">
        <v>0.06</v>
      </c>
      <c r="N187" s="58">
        <v>4135.103999999999</v>
      </c>
      <c r="O187" s="83">
        <v>0.1</v>
      </c>
      <c r="P187" s="58">
        <v>6891.84</v>
      </c>
      <c r="Q187" s="12">
        <v>0.93</v>
      </c>
      <c r="R187" s="58">
        <v>64094.11200000001</v>
      </c>
      <c r="S187" s="82">
        <v>0.09</v>
      </c>
      <c r="T187" s="58">
        <v>6202.655999999999</v>
      </c>
      <c r="U187" s="82">
        <v>4.26</v>
      </c>
      <c r="V187" s="58">
        <v>293592.38399999996</v>
      </c>
      <c r="W187" s="85">
        <v>0.1741189580721549</v>
      </c>
      <c r="X187" s="58">
        <v>12000</v>
      </c>
      <c r="Y187" s="38"/>
      <c r="Z187" s="58">
        <v>0</v>
      </c>
      <c r="AA187" s="58"/>
      <c r="AB187" s="58"/>
      <c r="AC187" s="169">
        <v>5.05</v>
      </c>
      <c r="AD187" s="58">
        <v>348037.92</v>
      </c>
      <c r="AE187" s="84">
        <v>0</v>
      </c>
      <c r="AF187" s="12">
        <v>0</v>
      </c>
      <c r="AG187" s="84"/>
      <c r="AH187" s="12">
        <v>0</v>
      </c>
      <c r="AI187" s="82"/>
      <c r="AJ187" s="64">
        <v>0</v>
      </c>
      <c r="AK187" s="85">
        <v>0.902</v>
      </c>
      <c r="AL187" s="66">
        <v>62164.3968</v>
      </c>
      <c r="AM187" s="56">
        <v>2.662</v>
      </c>
      <c r="AN187" s="66">
        <v>183460.78079999998</v>
      </c>
      <c r="AO187" s="17">
        <v>1.19</v>
      </c>
      <c r="AP187" s="74">
        <v>1.03</v>
      </c>
      <c r="AQ187" s="74">
        <v>0.16</v>
      </c>
      <c r="AR187" s="74">
        <v>82012.896</v>
      </c>
    </row>
    <row r="188" spans="1:44" ht="12.75">
      <c r="A188" s="6">
        <v>176</v>
      </c>
      <c r="B188" s="80">
        <v>44</v>
      </c>
      <c r="C188" s="81" t="s">
        <v>96</v>
      </c>
      <c r="D188" s="43">
        <v>1149.7</v>
      </c>
      <c r="E188" s="85">
        <v>-0.004729755588414264</v>
      </c>
      <c r="F188" s="82">
        <v>17.604729755588416</v>
      </c>
      <c r="G188" s="82">
        <v>17.6</v>
      </c>
      <c r="H188" s="82">
        <v>242881.8936</v>
      </c>
      <c r="I188" s="5">
        <v>1.86</v>
      </c>
      <c r="J188" s="58">
        <v>25661.304</v>
      </c>
      <c r="K188" s="82">
        <v>0.32</v>
      </c>
      <c r="L188" s="58">
        <v>4414.848</v>
      </c>
      <c r="M188" s="43">
        <v>0.06</v>
      </c>
      <c r="N188" s="58">
        <v>827.784</v>
      </c>
      <c r="O188" s="83"/>
      <c r="P188" s="58">
        <v>0</v>
      </c>
      <c r="Q188" s="12">
        <v>0.93</v>
      </c>
      <c r="R188" s="58">
        <v>12830.652</v>
      </c>
      <c r="S188" s="82">
        <v>0.09</v>
      </c>
      <c r="T188" s="58">
        <v>1241.676</v>
      </c>
      <c r="U188" s="82">
        <v>3.51</v>
      </c>
      <c r="V188" s="58">
        <v>48425.364000000016</v>
      </c>
      <c r="W188" s="85">
        <v>1.1307297555884144</v>
      </c>
      <c r="X188" s="58">
        <v>15600</v>
      </c>
      <c r="Y188" s="38"/>
      <c r="Z188" s="58">
        <v>0</v>
      </c>
      <c r="AA188" s="58"/>
      <c r="AB188" s="58"/>
      <c r="AC188" s="169">
        <v>4.95</v>
      </c>
      <c r="AD188" s="58">
        <v>68292.18</v>
      </c>
      <c r="AE188" s="84">
        <v>0</v>
      </c>
      <c r="AF188" s="12">
        <v>0</v>
      </c>
      <c r="AG188" s="84"/>
      <c r="AH188" s="12">
        <v>0</v>
      </c>
      <c r="AI188" s="82"/>
      <c r="AJ188" s="64">
        <v>0</v>
      </c>
      <c r="AK188" s="85">
        <v>0.902</v>
      </c>
      <c r="AL188" s="66">
        <v>12444.3528</v>
      </c>
      <c r="AM188" s="56">
        <v>2.662</v>
      </c>
      <c r="AN188" s="66">
        <v>36726.0168</v>
      </c>
      <c r="AO188" s="17">
        <v>1.19</v>
      </c>
      <c r="AP188" s="74">
        <v>1.03</v>
      </c>
      <c r="AQ188" s="74">
        <v>0.16</v>
      </c>
      <c r="AR188" s="74">
        <v>16417.716</v>
      </c>
    </row>
    <row r="189" spans="1:44" ht="12.75">
      <c r="A189" s="6">
        <v>177</v>
      </c>
      <c r="B189" s="80">
        <v>45</v>
      </c>
      <c r="C189" s="81" t="s">
        <v>97</v>
      </c>
      <c r="D189" s="43">
        <v>4127.8</v>
      </c>
      <c r="E189" s="85">
        <v>0.003740200591114018</v>
      </c>
      <c r="F189" s="82">
        <v>17.596259799408887</v>
      </c>
      <c r="G189" s="82">
        <v>17.6</v>
      </c>
      <c r="H189" s="82">
        <v>871606.0944000002</v>
      </c>
      <c r="I189" s="5">
        <v>1.86</v>
      </c>
      <c r="J189" s="58">
        <v>92132.49600000001</v>
      </c>
      <c r="K189" s="82">
        <v>0.32</v>
      </c>
      <c r="L189" s="58">
        <v>15850.752000000002</v>
      </c>
      <c r="M189" s="43">
        <v>0.06</v>
      </c>
      <c r="N189" s="58">
        <v>2972.016</v>
      </c>
      <c r="O189" s="83">
        <v>0.05</v>
      </c>
      <c r="P189" s="58">
        <v>2476.68</v>
      </c>
      <c r="Q189" s="12">
        <v>0.93</v>
      </c>
      <c r="R189" s="58">
        <v>46066.24800000001</v>
      </c>
      <c r="S189" s="82">
        <v>0.09</v>
      </c>
      <c r="T189" s="58">
        <v>4458.024</v>
      </c>
      <c r="U189" s="82">
        <v>4.83</v>
      </c>
      <c r="V189" s="58">
        <v>239247.288</v>
      </c>
      <c r="W189" s="85">
        <v>0.2422597994088861</v>
      </c>
      <c r="X189" s="58">
        <v>12000</v>
      </c>
      <c r="Y189" s="38"/>
      <c r="Z189" s="58">
        <v>0</v>
      </c>
      <c r="AA189" s="58"/>
      <c r="AB189" s="58"/>
      <c r="AC189" s="169">
        <v>4.46</v>
      </c>
      <c r="AD189" s="58">
        <v>220919.85600000006</v>
      </c>
      <c r="AE189" s="84">
        <v>0</v>
      </c>
      <c r="AF189" s="12">
        <v>0</v>
      </c>
      <c r="AG189" s="84"/>
      <c r="AH189" s="12">
        <v>0</v>
      </c>
      <c r="AI189" s="82"/>
      <c r="AJ189" s="64">
        <v>0</v>
      </c>
      <c r="AK189" s="85">
        <v>0.902</v>
      </c>
      <c r="AL189" s="66">
        <v>44679.3072</v>
      </c>
      <c r="AM189" s="56">
        <v>2.662</v>
      </c>
      <c r="AN189" s="66">
        <v>131858.4432</v>
      </c>
      <c r="AO189" s="17">
        <v>1.19</v>
      </c>
      <c r="AP189" s="74">
        <v>1.03</v>
      </c>
      <c r="AQ189" s="74">
        <v>0.16</v>
      </c>
      <c r="AR189" s="74">
        <v>58944.984000000004</v>
      </c>
    </row>
    <row r="190" spans="1:44" ht="12.75">
      <c r="A190" s="6">
        <v>178</v>
      </c>
      <c r="B190" s="80">
        <v>46</v>
      </c>
      <c r="C190" s="81" t="s">
        <v>222</v>
      </c>
      <c r="D190" s="43">
        <v>6221.7</v>
      </c>
      <c r="E190" s="85">
        <v>-0.004727775366863085</v>
      </c>
      <c r="F190" s="82">
        <v>17.604727775366865</v>
      </c>
      <c r="G190" s="82">
        <v>17.6</v>
      </c>
      <c r="H190" s="82">
        <v>1314376.0176</v>
      </c>
      <c r="I190" s="5">
        <v>1.86</v>
      </c>
      <c r="J190" s="58">
        <v>138868.344</v>
      </c>
      <c r="K190" s="82">
        <v>0.32</v>
      </c>
      <c r="L190" s="58">
        <v>23891.328</v>
      </c>
      <c r="M190" s="43">
        <v>0.06</v>
      </c>
      <c r="N190" s="58">
        <v>4479.624</v>
      </c>
      <c r="O190" s="83">
        <v>0.1</v>
      </c>
      <c r="P190" s="58">
        <v>7466.04</v>
      </c>
      <c r="Q190" s="12">
        <v>0.93</v>
      </c>
      <c r="R190" s="58">
        <v>69434.172</v>
      </c>
      <c r="S190" s="82">
        <v>0.09</v>
      </c>
      <c r="T190" s="58">
        <v>6719.436</v>
      </c>
      <c r="U190" s="82">
        <v>3.95</v>
      </c>
      <c r="V190" s="58">
        <v>294908.58</v>
      </c>
      <c r="W190" s="85">
        <v>0.16072777536686114</v>
      </c>
      <c r="X190" s="58">
        <v>12000</v>
      </c>
      <c r="Y190" s="38"/>
      <c r="Z190" s="58">
        <v>0</v>
      </c>
      <c r="AA190" s="58"/>
      <c r="AB190" s="58"/>
      <c r="AC190" s="169">
        <v>5.38</v>
      </c>
      <c r="AD190" s="58">
        <v>401672.952</v>
      </c>
      <c r="AE190" s="84">
        <v>0</v>
      </c>
      <c r="AF190" s="12">
        <v>0</v>
      </c>
      <c r="AG190" s="84"/>
      <c r="AH190" s="12">
        <v>0</v>
      </c>
      <c r="AI190" s="82"/>
      <c r="AJ190" s="64">
        <v>0</v>
      </c>
      <c r="AK190" s="85">
        <v>0.902</v>
      </c>
      <c r="AL190" s="66">
        <v>67343.6808</v>
      </c>
      <c r="AM190" s="56">
        <v>2.662</v>
      </c>
      <c r="AN190" s="66">
        <v>198745.98479999998</v>
      </c>
      <c r="AO190" s="17">
        <v>1.19</v>
      </c>
      <c r="AP190" s="74">
        <v>1.03</v>
      </c>
      <c r="AQ190" s="74">
        <v>0.16</v>
      </c>
      <c r="AR190" s="74">
        <v>88845.87599999999</v>
      </c>
    </row>
    <row r="191" spans="2:44" ht="12.75">
      <c r="B191" s="175"/>
      <c r="C191" s="163" t="s">
        <v>98</v>
      </c>
      <c r="D191" s="178">
        <v>142928.28</v>
      </c>
      <c r="E191" s="85"/>
      <c r="F191" s="82">
        <v>15.30609713640995</v>
      </c>
      <c r="G191" s="82"/>
      <c r="H191" s="178">
        <v>31906108.330640003</v>
      </c>
      <c r="I191" s="172"/>
      <c r="J191" s="178">
        <v>3076227.1055999994</v>
      </c>
      <c r="K191" s="178">
        <v>0.3136534183438013</v>
      </c>
      <c r="L191" s="178">
        <v>537959.3231999998</v>
      </c>
      <c r="M191" s="171">
        <v>0.052182659722764445</v>
      </c>
      <c r="N191" s="178">
        <v>89500.5336</v>
      </c>
      <c r="O191" s="165">
        <v>0.022154635877518425</v>
      </c>
      <c r="P191" s="178">
        <v>37998.288</v>
      </c>
      <c r="Q191" s="171">
        <v>0.9118738041204999</v>
      </c>
      <c r="R191" s="178">
        <v>1563990.6527999998</v>
      </c>
      <c r="S191" s="171">
        <v>0.08838526707240857</v>
      </c>
      <c r="T191" s="178">
        <v>151593.05039999992</v>
      </c>
      <c r="U191" s="171">
        <v>3.2550656189244</v>
      </c>
      <c r="V191" s="178">
        <v>5582891.1624</v>
      </c>
      <c r="W191" s="85"/>
      <c r="X191" s="178">
        <v>580200</v>
      </c>
      <c r="Y191" s="171">
        <v>0.024781246930278594</v>
      </c>
      <c r="Z191" s="178">
        <v>42503.292</v>
      </c>
      <c r="AA191" s="171">
        <v>0.010064642210764725</v>
      </c>
      <c r="AB191" s="178">
        <v>17262.264</v>
      </c>
      <c r="AC191" s="171">
        <v>6.092548152122167</v>
      </c>
      <c r="AD191" s="178">
        <v>10449569.1384</v>
      </c>
      <c r="AE191" s="177">
        <v>0.7934445863337891</v>
      </c>
      <c r="AF191" s="178">
        <v>1360868.04</v>
      </c>
      <c r="AG191" s="178"/>
      <c r="AH191" s="178">
        <v>254508.14400000003</v>
      </c>
      <c r="AI191" s="177">
        <v>0.18949898508538687</v>
      </c>
      <c r="AJ191" s="178">
        <v>27084.764000000003</v>
      </c>
      <c r="AK191" s="177">
        <v>0.8916508248752449</v>
      </c>
      <c r="AL191" s="178">
        <v>1529305.42512</v>
      </c>
      <c r="AM191" s="165">
        <v>2.6607932947909254</v>
      </c>
      <c r="AN191" s="178">
        <v>4563631.30872</v>
      </c>
      <c r="AO191" s="17">
        <v>0</v>
      </c>
      <c r="AP191" s="74"/>
      <c r="AQ191" s="74"/>
      <c r="AR191" s="178">
        <v>2041015.838399999</v>
      </c>
    </row>
    <row r="192" spans="1:44" ht="12.75">
      <c r="A192" s="6">
        <v>179</v>
      </c>
      <c r="B192" s="80">
        <v>1</v>
      </c>
      <c r="C192" s="81" t="s">
        <v>168</v>
      </c>
      <c r="D192" s="43">
        <v>812.5</v>
      </c>
      <c r="E192" s="85">
        <v>-0.004000000000001336</v>
      </c>
      <c r="F192" s="82">
        <v>17.604000000000003</v>
      </c>
      <c r="G192" s="82">
        <v>17.6</v>
      </c>
      <c r="H192" s="82">
        <v>171639</v>
      </c>
      <c r="I192" s="5">
        <v>1.86</v>
      </c>
      <c r="J192" s="58">
        <v>18135</v>
      </c>
      <c r="K192" s="82">
        <v>0.32</v>
      </c>
      <c r="L192" s="58">
        <v>3120</v>
      </c>
      <c r="M192" s="43">
        <v>0.07</v>
      </c>
      <c r="N192" s="58">
        <v>682.5</v>
      </c>
      <c r="O192" s="83"/>
      <c r="P192" s="58">
        <v>0</v>
      </c>
      <c r="Q192" s="12">
        <v>0.93</v>
      </c>
      <c r="R192" s="58">
        <v>9067.5</v>
      </c>
      <c r="S192" s="82">
        <v>0.09</v>
      </c>
      <c r="T192" s="58">
        <v>877.5</v>
      </c>
      <c r="U192" s="82">
        <v>3.03</v>
      </c>
      <c r="V192" s="58">
        <v>29542.5</v>
      </c>
      <c r="W192" s="38"/>
      <c r="X192" s="58"/>
      <c r="Y192" s="38"/>
      <c r="Z192" s="58">
        <v>0</v>
      </c>
      <c r="AA192" s="58"/>
      <c r="AB192" s="58"/>
      <c r="AC192" s="169">
        <v>6.55</v>
      </c>
      <c r="AD192" s="58">
        <v>63862.5</v>
      </c>
      <c r="AE192" s="84">
        <v>0</v>
      </c>
      <c r="AF192" s="12">
        <v>0</v>
      </c>
      <c r="AG192" s="84"/>
      <c r="AH192" s="64">
        <v>0</v>
      </c>
      <c r="AI192" s="82"/>
      <c r="AJ192" s="64">
        <v>0</v>
      </c>
      <c r="AK192" s="85">
        <v>0.902</v>
      </c>
      <c r="AL192" s="66">
        <v>8794.5</v>
      </c>
      <c r="AM192" s="56">
        <v>2.662</v>
      </c>
      <c r="AN192" s="66">
        <v>25954.5</v>
      </c>
      <c r="AO192" s="17">
        <v>1.19</v>
      </c>
      <c r="AP192" s="74">
        <v>1.03</v>
      </c>
      <c r="AQ192" s="74">
        <v>0.16</v>
      </c>
      <c r="AR192" s="74">
        <v>11602.5</v>
      </c>
    </row>
    <row r="193" spans="1:44" ht="12.75">
      <c r="A193" s="6">
        <v>180</v>
      </c>
      <c r="B193" s="80">
        <v>2</v>
      </c>
      <c r="C193" s="81" t="s">
        <v>169</v>
      </c>
      <c r="D193" s="43">
        <v>813.2</v>
      </c>
      <c r="E193" s="85">
        <v>-0.004000000000001336</v>
      </c>
      <c r="F193" s="82">
        <v>17.604000000000003</v>
      </c>
      <c r="G193" s="82">
        <v>17.6</v>
      </c>
      <c r="H193" s="82">
        <v>171786.87360000005</v>
      </c>
      <c r="I193" s="5">
        <v>1.86</v>
      </c>
      <c r="J193" s="58">
        <v>18150.624000000003</v>
      </c>
      <c r="K193" s="82">
        <v>0.32</v>
      </c>
      <c r="L193" s="58">
        <v>3122.6880000000006</v>
      </c>
      <c r="M193" s="43">
        <v>0.07</v>
      </c>
      <c r="N193" s="58">
        <v>683.0880000000001</v>
      </c>
      <c r="O193" s="83"/>
      <c r="P193" s="58">
        <v>0</v>
      </c>
      <c r="Q193" s="12">
        <v>0.93</v>
      </c>
      <c r="R193" s="58">
        <v>9075.312000000002</v>
      </c>
      <c r="S193" s="82">
        <v>0.09</v>
      </c>
      <c r="T193" s="58">
        <v>878.2560000000001</v>
      </c>
      <c r="U193" s="82">
        <v>3.03</v>
      </c>
      <c r="V193" s="58">
        <v>29567.952</v>
      </c>
      <c r="W193" s="38"/>
      <c r="X193" s="58"/>
      <c r="Y193" s="38"/>
      <c r="Z193" s="58">
        <v>0</v>
      </c>
      <c r="AA193" s="58"/>
      <c r="AB193" s="58"/>
      <c r="AC193" s="169">
        <v>6.55</v>
      </c>
      <c r="AD193" s="58">
        <v>63917.52</v>
      </c>
      <c r="AE193" s="84">
        <v>0</v>
      </c>
      <c r="AF193" s="12">
        <v>0</v>
      </c>
      <c r="AG193" s="84"/>
      <c r="AH193" s="64">
        <v>0</v>
      </c>
      <c r="AI193" s="82"/>
      <c r="AJ193" s="64">
        <v>0</v>
      </c>
      <c r="AK193" s="85">
        <v>0.902</v>
      </c>
      <c r="AL193" s="66">
        <v>8802.0768</v>
      </c>
      <c r="AM193" s="56">
        <v>2.662</v>
      </c>
      <c r="AN193" s="66">
        <v>25976.860800000002</v>
      </c>
      <c r="AO193" s="17">
        <v>1.19</v>
      </c>
      <c r="AP193" s="74">
        <v>1.03</v>
      </c>
      <c r="AQ193" s="74">
        <v>0.16</v>
      </c>
      <c r="AR193" s="74">
        <v>11612.496</v>
      </c>
    </row>
    <row r="194" spans="1:44" ht="12.75">
      <c r="A194" s="6">
        <v>181</v>
      </c>
      <c r="B194" s="80">
        <v>3</v>
      </c>
      <c r="C194" s="81" t="s">
        <v>240</v>
      </c>
      <c r="D194" s="43">
        <v>1249.6</v>
      </c>
      <c r="E194" s="85">
        <v>0.0003081536957516562</v>
      </c>
      <c r="F194" s="82">
        <v>19.56969184630425</v>
      </c>
      <c r="G194" s="82">
        <v>19.57</v>
      </c>
      <c r="H194" s="82">
        <v>278362.23679999996</v>
      </c>
      <c r="I194" s="112">
        <v>1.42</v>
      </c>
      <c r="J194" s="58">
        <v>21293.183999999997</v>
      </c>
      <c r="K194" s="82">
        <v>0.32</v>
      </c>
      <c r="L194" s="58">
        <v>4798.464</v>
      </c>
      <c r="M194" s="43">
        <v>0.02</v>
      </c>
      <c r="N194" s="58">
        <v>299.904</v>
      </c>
      <c r="O194" s="82"/>
      <c r="P194" s="58">
        <v>0</v>
      </c>
      <c r="Q194" s="43">
        <v>0.93</v>
      </c>
      <c r="R194" s="58">
        <v>13945.536</v>
      </c>
      <c r="S194" s="83">
        <v>0.09</v>
      </c>
      <c r="T194" s="58">
        <v>1349.5679999999998</v>
      </c>
      <c r="U194" s="82">
        <v>3.44</v>
      </c>
      <c r="V194" s="58">
        <v>51583.488</v>
      </c>
      <c r="W194" s="120">
        <v>0.16569184630424338</v>
      </c>
      <c r="X194" s="146">
        <v>12000</v>
      </c>
      <c r="Y194" s="38"/>
      <c r="Z194" s="58">
        <v>0</v>
      </c>
      <c r="AA194" s="58"/>
      <c r="AB194" s="58"/>
      <c r="AC194" s="169">
        <v>5.76</v>
      </c>
      <c r="AD194" s="58">
        <v>86372.35199999998</v>
      </c>
      <c r="AE194" s="84"/>
      <c r="AF194" s="12">
        <v>0</v>
      </c>
      <c r="AG194" s="83">
        <v>0.88</v>
      </c>
      <c r="AH194" s="64">
        <v>13195.775999999998</v>
      </c>
      <c r="AI194" s="82">
        <v>1.79</v>
      </c>
      <c r="AJ194" s="64">
        <v>2236.784</v>
      </c>
      <c r="AK194" s="85">
        <v>0.902</v>
      </c>
      <c r="AL194" s="66">
        <v>13525.670399999999</v>
      </c>
      <c r="AM194" s="56">
        <v>2.662</v>
      </c>
      <c r="AN194" s="66">
        <v>39917.22239999999</v>
      </c>
      <c r="AO194" s="17">
        <v>1.19</v>
      </c>
      <c r="AP194" s="74">
        <v>1.03</v>
      </c>
      <c r="AQ194" s="74">
        <v>0.16</v>
      </c>
      <c r="AR194" s="74">
        <v>17844.288</v>
      </c>
    </row>
    <row r="195" spans="1:44" ht="12.75">
      <c r="A195" s="6"/>
      <c r="B195" s="80"/>
      <c r="C195" s="81" t="s">
        <v>239</v>
      </c>
      <c r="D195" s="43">
        <v>4785.7</v>
      </c>
      <c r="E195" s="85">
        <v>4.935537121042444E-05</v>
      </c>
      <c r="F195" s="82">
        <v>28.63995064462879</v>
      </c>
      <c r="G195" s="82">
        <v>28.64</v>
      </c>
      <c r="H195" s="82">
        <v>1550516.1086000002</v>
      </c>
      <c r="I195" s="112">
        <v>1.42</v>
      </c>
      <c r="J195" s="58">
        <v>81548.328</v>
      </c>
      <c r="K195" s="82">
        <v>0.32</v>
      </c>
      <c r="L195" s="58">
        <v>18377.088</v>
      </c>
      <c r="M195" s="43">
        <v>0.02</v>
      </c>
      <c r="N195" s="58">
        <v>1148.568</v>
      </c>
      <c r="O195" s="82"/>
      <c r="P195" s="58">
        <v>0</v>
      </c>
      <c r="Q195" s="43">
        <v>0.93</v>
      </c>
      <c r="R195" s="58">
        <v>53408.412</v>
      </c>
      <c r="S195" s="83">
        <v>0.09</v>
      </c>
      <c r="T195" s="58">
        <v>5168.556</v>
      </c>
      <c r="U195" s="82">
        <v>7.08</v>
      </c>
      <c r="V195" s="58">
        <v>406593.0719999999</v>
      </c>
      <c r="W195" s="121"/>
      <c r="X195" s="147"/>
      <c r="Y195" s="38"/>
      <c r="Z195" s="58">
        <v>0</v>
      </c>
      <c r="AA195" s="58"/>
      <c r="AB195" s="58"/>
      <c r="AC195" s="169">
        <v>6.09</v>
      </c>
      <c r="AD195" s="58">
        <v>349738.95599999995</v>
      </c>
      <c r="AE195" s="83">
        <v>5.26595064462879</v>
      </c>
      <c r="AF195" s="58">
        <v>302415.12</v>
      </c>
      <c r="AG195" s="83">
        <v>0.88</v>
      </c>
      <c r="AH195" s="64">
        <v>50536.992</v>
      </c>
      <c r="AI195" s="82">
        <v>1.79</v>
      </c>
      <c r="AJ195" s="64">
        <v>8566.403</v>
      </c>
      <c r="AK195" s="85">
        <v>0.902</v>
      </c>
      <c r="AL195" s="66">
        <v>51800.4168</v>
      </c>
      <c r="AM195" s="56">
        <v>2.662</v>
      </c>
      <c r="AN195" s="66">
        <v>152874.40079999997</v>
      </c>
      <c r="AO195" s="17">
        <v>1.19</v>
      </c>
      <c r="AP195" s="74">
        <v>1.03</v>
      </c>
      <c r="AQ195" s="74">
        <v>0.16</v>
      </c>
      <c r="AR195" s="74">
        <v>68339.79599999999</v>
      </c>
    </row>
    <row r="196" spans="1:44" ht="12.75">
      <c r="A196" s="6">
        <v>182</v>
      </c>
      <c r="B196" s="80">
        <v>4</v>
      </c>
      <c r="C196" s="81" t="s">
        <v>130</v>
      </c>
      <c r="D196" s="43">
        <v>3007.3</v>
      </c>
      <c r="E196" s="85">
        <v>0.003718551524624303</v>
      </c>
      <c r="F196" s="82">
        <v>17.596281448475377</v>
      </c>
      <c r="G196" s="82">
        <v>17.6</v>
      </c>
      <c r="H196" s="82">
        <v>635007.5664000001</v>
      </c>
      <c r="I196" s="112">
        <v>1.86</v>
      </c>
      <c r="J196" s="58">
        <v>67122.936</v>
      </c>
      <c r="K196" s="82">
        <v>0.32</v>
      </c>
      <c r="L196" s="58">
        <v>11548.032000000001</v>
      </c>
      <c r="M196" s="43">
        <v>0.06</v>
      </c>
      <c r="N196" s="58">
        <v>2165.2560000000003</v>
      </c>
      <c r="O196" s="83">
        <v>0.05</v>
      </c>
      <c r="P196" s="58">
        <v>1804.38</v>
      </c>
      <c r="Q196" s="12">
        <v>0.93</v>
      </c>
      <c r="R196" s="58">
        <v>33561.468</v>
      </c>
      <c r="S196" s="82">
        <v>0.09</v>
      </c>
      <c r="T196" s="58">
        <v>3247.884</v>
      </c>
      <c r="U196" s="82">
        <v>3.29</v>
      </c>
      <c r="V196" s="58">
        <v>118728.204</v>
      </c>
      <c r="W196" s="85">
        <v>0.43228144847537653</v>
      </c>
      <c r="X196" s="58">
        <v>15600</v>
      </c>
      <c r="Y196" s="38"/>
      <c r="Z196" s="58">
        <v>0</v>
      </c>
      <c r="AA196" s="58"/>
      <c r="AB196" s="58"/>
      <c r="AC196" s="169">
        <v>5.81</v>
      </c>
      <c r="AD196" s="58">
        <v>209668.95600000006</v>
      </c>
      <c r="AE196" s="84">
        <v>0</v>
      </c>
      <c r="AF196" s="58">
        <v>0</v>
      </c>
      <c r="AG196" s="84"/>
      <c r="AH196" s="64">
        <v>0</v>
      </c>
      <c r="AI196" s="82"/>
      <c r="AJ196" s="64">
        <v>0</v>
      </c>
      <c r="AK196" s="85">
        <v>0.902</v>
      </c>
      <c r="AL196" s="66">
        <v>32551.0152</v>
      </c>
      <c r="AM196" s="56">
        <v>2.662</v>
      </c>
      <c r="AN196" s="66">
        <v>96065.1912</v>
      </c>
      <c r="AO196" s="17">
        <v>1.19</v>
      </c>
      <c r="AP196" s="74">
        <v>1.03</v>
      </c>
      <c r="AQ196" s="74">
        <v>0.16</v>
      </c>
      <c r="AR196" s="74">
        <v>42944.244</v>
      </c>
    </row>
    <row r="197" spans="1:44" ht="12.75">
      <c r="A197" s="6">
        <v>183</v>
      </c>
      <c r="B197" s="80">
        <v>5</v>
      </c>
      <c r="C197" s="81" t="s">
        <v>131</v>
      </c>
      <c r="D197" s="43">
        <v>3966.2</v>
      </c>
      <c r="E197" s="85">
        <v>-0.001769653572686991</v>
      </c>
      <c r="F197" s="82">
        <v>17.60176965357269</v>
      </c>
      <c r="G197" s="82">
        <v>17.6</v>
      </c>
      <c r="H197" s="82">
        <v>837745.6656</v>
      </c>
      <c r="I197" s="112">
        <v>1.86</v>
      </c>
      <c r="J197" s="58">
        <v>88525.584</v>
      </c>
      <c r="K197" s="82">
        <v>0.32</v>
      </c>
      <c r="L197" s="58">
        <v>15230.207999999999</v>
      </c>
      <c r="M197" s="43">
        <v>0.06</v>
      </c>
      <c r="N197" s="58">
        <v>2855.6639999999998</v>
      </c>
      <c r="O197" s="83">
        <v>0.05</v>
      </c>
      <c r="P197" s="58">
        <v>2379.72</v>
      </c>
      <c r="Q197" s="12">
        <v>0.93</v>
      </c>
      <c r="R197" s="58">
        <v>44262.792</v>
      </c>
      <c r="S197" s="82">
        <v>0.09</v>
      </c>
      <c r="T197" s="58">
        <v>4283.495999999999</v>
      </c>
      <c r="U197" s="82">
        <v>3.39</v>
      </c>
      <c r="V197" s="58">
        <v>161345.01599999997</v>
      </c>
      <c r="W197" s="85">
        <v>0.3277696535726892</v>
      </c>
      <c r="X197" s="58">
        <v>15600</v>
      </c>
      <c r="Y197" s="38"/>
      <c r="Z197" s="58">
        <v>0</v>
      </c>
      <c r="AA197" s="58"/>
      <c r="AB197" s="58"/>
      <c r="AC197" s="169">
        <v>5.82</v>
      </c>
      <c r="AD197" s="58">
        <v>276999.408</v>
      </c>
      <c r="AE197" s="84">
        <v>0</v>
      </c>
      <c r="AF197" s="58">
        <v>0</v>
      </c>
      <c r="AG197" s="84"/>
      <c r="AH197" s="64">
        <v>0</v>
      </c>
      <c r="AI197" s="82"/>
      <c r="AJ197" s="64">
        <v>0</v>
      </c>
      <c r="AK197" s="85">
        <v>0.902</v>
      </c>
      <c r="AL197" s="66">
        <v>42930.1488</v>
      </c>
      <c r="AM197" s="56">
        <v>2.662</v>
      </c>
      <c r="AN197" s="66">
        <v>126696.29279999998</v>
      </c>
      <c r="AO197" s="17">
        <v>1.19</v>
      </c>
      <c r="AP197" s="74">
        <v>1.03</v>
      </c>
      <c r="AQ197" s="74">
        <v>0.16</v>
      </c>
      <c r="AR197" s="74">
        <v>56637.335999999996</v>
      </c>
    </row>
    <row r="198" spans="1:44" ht="12.75">
      <c r="A198" s="6">
        <v>184</v>
      </c>
      <c r="B198" s="80">
        <v>6</v>
      </c>
      <c r="C198" s="81" t="s">
        <v>241</v>
      </c>
      <c r="D198" s="43">
        <v>1415.7</v>
      </c>
      <c r="E198" s="85">
        <v>0.004805212492655642</v>
      </c>
      <c r="F198" s="82">
        <v>18.355194787507347</v>
      </c>
      <c r="G198" s="82">
        <v>18.36</v>
      </c>
      <c r="H198" s="82">
        <v>296132.2806</v>
      </c>
      <c r="I198" s="112">
        <v>1.42</v>
      </c>
      <c r="J198" s="58">
        <v>24123.528</v>
      </c>
      <c r="K198" s="82">
        <v>0.32</v>
      </c>
      <c r="L198" s="58">
        <v>5436.2880000000005</v>
      </c>
      <c r="M198" s="43">
        <v>0.02</v>
      </c>
      <c r="N198" s="58">
        <v>339.76800000000003</v>
      </c>
      <c r="O198" s="82"/>
      <c r="P198" s="58">
        <v>0</v>
      </c>
      <c r="Q198" s="43">
        <v>0.93</v>
      </c>
      <c r="R198" s="58">
        <v>15799.212000000001</v>
      </c>
      <c r="S198" s="83">
        <v>0.09</v>
      </c>
      <c r="T198" s="58">
        <v>1528.956</v>
      </c>
      <c r="U198" s="82">
        <v>2.99</v>
      </c>
      <c r="V198" s="58">
        <v>50795.316000000006</v>
      </c>
      <c r="W198" s="120">
        <v>0.20119478750735134</v>
      </c>
      <c r="X198" s="146">
        <v>15600</v>
      </c>
      <c r="Y198" s="38"/>
      <c r="Z198" s="58">
        <v>0</v>
      </c>
      <c r="AA198" s="58"/>
      <c r="AB198" s="58"/>
      <c r="AC198" s="169">
        <v>4.61</v>
      </c>
      <c r="AD198" s="58">
        <v>78316.524</v>
      </c>
      <c r="AE198" s="84"/>
      <c r="AF198" s="58">
        <v>0</v>
      </c>
      <c r="AG198" s="83">
        <v>1.23</v>
      </c>
      <c r="AH198" s="64">
        <v>20895.732</v>
      </c>
      <c r="AI198" s="82">
        <v>1.79</v>
      </c>
      <c r="AJ198" s="64">
        <v>2534.103</v>
      </c>
      <c r="AK198" s="85">
        <v>0.902</v>
      </c>
      <c r="AL198" s="66">
        <v>15323.536800000002</v>
      </c>
      <c r="AM198" s="56">
        <v>2.662</v>
      </c>
      <c r="AN198" s="66">
        <v>45223.120800000004</v>
      </c>
      <c r="AO198" s="17">
        <v>1.19</v>
      </c>
      <c r="AP198" s="74">
        <v>1.03</v>
      </c>
      <c r="AQ198" s="74">
        <v>0.16</v>
      </c>
      <c r="AR198" s="74">
        <v>20216.196</v>
      </c>
    </row>
    <row r="199" spans="1:44" ht="12.75">
      <c r="A199" s="6"/>
      <c r="B199" s="80"/>
      <c r="C199" s="81" t="s">
        <v>242</v>
      </c>
      <c r="D199" s="43">
        <v>5045.7</v>
      </c>
      <c r="E199" s="85">
        <v>0.004097984422379852</v>
      </c>
      <c r="F199" s="82">
        <v>31.08590201557762</v>
      </c>
      <c r="G199" s="82">
        <v>31.09</v>
      </c>
      <c r="H199" s="82">
        <v>1782851.7965999998</v>
      </c>
      <c r="I199" s="112">
        <v>1.42</v>
      </c>
      <c r="J199" s="58">
        <v>85978.72799999999</v>
      </c>
      <c r="K199" s="82">
        <v>0.32</v>
      </c>
      <c r="L199" s="58">
        <v>19375.488</v>
      </c>
      <c r="M199" s="43">
        <v>0.02</v>
      </c>
      <c r="N199" s="58">
        <v>1210.968</v>
      </c>
      <c r="O199" s="82"/>
      <c r="P199" s="58">
        <v>0</v>
      </c>
      <c r="Q199" s="43">
        <v>0.93</v>
      </c>
      <c r="R199" s="58">
        <v>56310.012</v>
      </c>
      <c r="S199" s="83">
        <v>0.09</v>
      </c>
      <c r="T199" s="58">
        <v>5449.356</v>
      </c>
      <c r="U199" s="82">
        <v>4.32</v>
      </c>
      <c r="V199" s="58">
        <v>261569.08799999993</v>
      </c>
      <c r="W199" s="121"/>
      <c r="X199" s="147"/>
      <c r="Y199" s="38"/>
      <c r="Z199" s="58">
        <v>0</v>
      </c>
      <c r="AA199" s="58"/>
      <c r="AB199" s="58"/>
      <c r="AC199" s="169">
        <v>8.72</v>
      </c>
      <c r="AD199" s="58">
        <v>527982.048</v>
      </c>
      <c r="AE199" s="83">
        <v>7.491902015577621</v>
      </c>
      <c r="AF199" s="58">
        <v>453622.68</v>
      </c>
      <c r="AG199" s="83">
        <v>1.23</v>
      </c>
      <c r="AH199" s="64">
        <v>74474.53199999999</v>
      </c>
      <c r="AI199" s="82">
        <v>1.79</v>
      </c>
      <c r="AJ199" s="64">
        <v>9031.803</v>
      </c>
      <c r="AK199" s="85">
        <v>0.902</v>
      </c>
      <c r="AL199" s="66">
        <v>54614.656800000004</v>
      </c>
      <c r="AM199" s="56">
        <v>2.662</v>
      </c>
      <c r="AN199" s="66">
        <v>161179.8408</v>
      </c>
      <c r="AO199" s="17">
        <v>1.19</v>
      </c>
      <c r="AP199" s="74">
        <v>1.03</v>
      </c>
      <c r="AQ199" s="74">
        <v>0.16</v>
      </c>
      <c r="AR199" s="74">
        <v>72052.59599999999</v>
      </c>
    </row>
    <row r="200" spans="1:44" ht="12.75">
      <c r="A200" s="6">
        <v>185</v>
      </c>
      <c r="B200" s="80">
        <v>7</v>
      </c>
      <c r="C200" s="81" t="s">
        <v>132</v>
      </c>
      <c r="D200" s="43">
        <v>5320.4</v>
      </c>
      <c r="E200" s="85">
        <v>-0.0019557927975348832</v>
      </c>
      <c r="F200" s="82">
        <v>17.601955792797536</v>
      </c>
      <c r="G200" s="82">
        <v>17.6</v>
      </c>
      <c r="H200" s="82">
        <v>1123793.3472</v>
      </c>
      <c r="I200" s="112">
        <v>1.86</v>
      </c>
      <c r="J200" s="58">
        <v>118751.328</v>
      </c>
      <c r="K200" s="82">
        <v>0.32</v>
      </c>
      <c r="L200" s="58">
        <v>20430.336</v>
      </c>
      <c r="M200" s="43">
        <v>0.06</v>
      </c>
      <c r="N200" s="58">
        <v>3830.688</v>
      </c>
      <c r="O200" s="83">
        <v>0.05</v>
      </c>
      <c r="P200" s="58">
        <v>3192.24</v>
      </c>
      <c r="Q200" s="12">
        <v>0.93</v>
      </c>
      <c r="R200" s="58">
        <v>59375.664</v>
      </c>
      <c r="S200" s="82">
        <v>0.09</v>
      </c>
      <c r="T200" s="58">
        <v>5746.031999999999</v>
      </c>
      <c r="U200" s="82">
        <v>2.79</v>
      </c>
      <c r="V200" s="58">
        <v>178126.992</v>
      </c>
      <c r="W200" s="85">
        <v>0.18795579279753405</v>
      </c>
      <c r="X200" s="58">
        <v>12000</v>
      </c>
      <c r="Y200" s="38"/>
      <c r="Z200" s="58">
        <v>0</v>
      </c>
      <c r="AA200" s="58"/>
      <c r="AB200" s="58"/>
      <c r="AC200" s="169">
        <v>6.56</v>
      </c>
      <c r="AD200" s="58">
        <v>418821.88800000004</v>
      </c>
      <c r="AE200" s="84">
        <v>0</v>
      </c>
      <c r="AF200" s="58">
        <v>0</v>
      </c>
      <c r="AG200" s="84"/>
      <c r="AH200" s="64">
        <v>0</v>
      </c>
      <c r="AI200" s="82"/>
      <c r="AJ200" s="64">
        <v>0</v>
      </c>
      <c r="AK200" s="85">
        <v>0.902</v>
      </c>
      <c r="AL200" s="66">
        <v>57588.0096</v>
      </c>
      <c r="AM200" s="56">
        <v>2.662</v>
      </c>
      <c r="AN200" s="66">
        <v>169954.8576</v>
      </c>
      <c r="AO200" s="17">
        <v>1.19</v>
      </c>
      <c r="AP200" s="74">
        <v>1.03</v>
      </c>
      <c r="AQ200" s="74">
        <v>0.16</v>
      </c>
      <c r="AR200" s="74">
        <v>75975.31199999999</v>
      </c>
    </row>
    <row r="201" spans="1:44" ht="12.75">
      <c r="A201" s="6">
        <v>186</v>
      </c>
      <c r="B201" s="80">
        <v>8</v>
      </c>
      <c r="C201" s="81" t="s">
        <v>133</v>
      </c>
      <c r="D201" s="43">
        <v>3145.4</v>
      </c>
      <c r="E201" s="85">
        <v>-0.0019245882876575138</v>
      </c>
      <c r="F201" s="82">
        <v>17.60192458828766</v>
      </c>
      <c r="G201" s="82">
        <v>17.6</v>
      </c>
      <c r="H201" s="82">
        <v>664381.1232000001</v>
      </c>
      <c r="I201" s="112">
        <v>1.86</v>
      </c>
      <c r="J201" s="58">
        <v>70205.32800000001</v>
      </c>
      <c r="K201" s="82">
        <v>0.32</v>
      </c>
      <c r="L201" s="58">
        <v>12078.336</v>
      </c>
      <c r="M201" s="43">
        <v>0.06</v>
      </c>
      <c r="N201" s="58">
        <v>2264.688</v>
      </c>
      <c r="O201" s="83"/>
      <c r="P201" s="58">
        <v>0</v>
      </c>
      <c r="Q201" s="12">
        <v>0.93</v>
      </c>
      <c r="R201" s="58">
        <v>35102.664000000004</v>
      </c>
      <c r="S201" s="82">
        <v>0.09</v>
      </c>
      <c r="T201" s="58">
        <v>3397.032</v>
      </c>
      <c r="U201" s="82">
        <v>2.64</v>
      </c>
      <c r="V201" s="58">
        <v>99646.27200000003</v>
      </c>
      <c r="W201" s="85">
        <v>0.3179245882876582</v>
      </c>
      <c r="X201" s="58">
        <v>12000</v>
      </c>
      <c r="Y201" s="38"/>
      <c r="Z201" s="58">
        <v>0</v>
      </c>
      <c r="AA201" s="58"/>
      <c r="AB201" s="58"/>
      <c r="AC201" s="169">
        <v>6.63</v>
      </c>
      <c r="AD201" s="58">
        <v>250248.02400000003</v>
      </c>
      <c r="AE201" s="84">
        <v>0</v>
      </c>
      <c r="AF201" s="58">
        <v>0</v>
      </c>
      <c r="AG201" s="84"/>
      <c r="AH201" s="64">
        <v>0</v>
      </c>
      <c r="AI201" s="82"/>
      <c r="AJ201" s="64">
        <v>0</v>
      </c>
      <c r="AK201" s="85">
        <v>0.902</v>
      </c>
      <c r="AL201" s="66">
        <v>34045.80960000001</v>
      </c>
      <c r="AM201" s="56">
        <v>2.662</v>
      </c>
      <c r="AN201" s="66">
        <v>100476.6576</v>
      </c>
      <c r="AO201" s="17">
        <v>1.19</v>
      </c>
      <c r="AP201" s="74">
        <v>1.03</v>
      </c>
      <c r="AQ201" s="74">
        <v>0.16</v>
      </c>
      <c r="AR201" s="74">
        <v>44916.312</v>
      </c>
    </row>
    <row r="202" spans="1:44" ht="12.75">
      <c r="A202" s="6">
        <v>187</v>
      </c>
      <c r="B202" s="80">
        <v>9</v>
      </c>
      <c r="C202" s="81" t="s">
        <v>134</v>
      </c>
      <c r="D202" s="43">
        <v>2350.7</v>
      </c>
      <c r="E202" s="85">
        <v>0.000594801548473356</v>
      </c>
      <c r="F202" s="82">
        <v>17.599405198451528</v>
      </c>
      <c r="G202" s="82">
        <v>17.6</v>
      </c>
      <c r="H202" s="82">
        <v>496451.06159999996</v>
      </c>
      <c r="I202" s="112">
        <v>1.86</v>
      </c>
      <c r="J202" s="58">
        <v>52467.623999999996</v>
      </c>
      <c r="K202" s="82">
        <v>0.32</v>
      </c>
      <c r="L202" s="58">
        <v>9026.687999999998</v>
      </c>
      <c r="M202" s="43">
        <v>0.06</v>
      </c>
      <c r="N202" s="58">
        <v>1692.5039999999997</v>
      </c>
      <c r="O202" s="83"/>
      <c r="P202" s="58">
        <v>0</v>
      </c>
      <c r="Q202" s="12">
        <v>0.93</v>
      </c>
      <c r="R202" s="58">
        <v>26233.811999999998</v>
      </c>
      <c r="S202" s="82">
        <v>0.09</v>
      </c>
      <c r="T202" s="58">
        <v>2538.756</v>
      </c>
      <c r="U202" s="82">
        <v>2.64</v>
      </c>
      <c r="V202" s="58">
        <v>74470.17599999999</v>
      </c>
      <c r="W202" s="85">
        <v>0.4254051984515251</v>
      </c>
      <c r="X202" s="58">
        <v>12000</v>
      </c>
      <c r="Y202" s="38"/>
      <c r="Z202" s="58">
        <v>0</v>
      </c>
      <c r="AA202" s="58"/>
      <c r="AB202" s="58"/>
      <c r="AC202" s="169">
        <v>6.52</v>
      </c>
      <c r="AD202" s="58">
        <v>183918.768</v>
      </c>
      <c r="AE202" s="84">
        <v>0</v>
      </c>
      <c r="AF202" s="58">
        <v>0</v>
      </c>
      <c r="AG202" s="84"/>
      <c r="AH202" s="64">
        <v>0</v>
      </c>
      <c r="AI202" s="82"/>
      <c r="AJ202" s="64">
        <v>0</v>
      </c>
      <c r="AK202" s="85">
        <v>0.902</v>
      </c>
      <c r="AL202" s="66">
        <v>25443.9768</v>
      </c>
      <c r="AM202" s="56">
        <v>2.662</v>
      </c>
      <c r="AN202" s="66">
        <v>75090.76079999999</v>
      </c>
      <c r="AO202" s="17">
        <v>1.19</v>
      </c>
      <c r="AP202" s="74">
        <v>1.03</v>
      </c>
      <c r="AQ202" s="74">
        <v>0.16</v>
      </c>
      <c r="AR202" s="74">
        <v>33567.996</v>
      </c>
    </row>
    <row r="203" spans="1:44" ht="12.75">
      <c r="A203" s="6">
        <v>188</v>
      </c>
      <c r="B203" s="80">
        <v>10</v>
      </c>
      <c r="C203" s="81" t="s">
        <v>243</v>
      </c>
      <c r="D203" s="43">
        <v>1435.6</v>
      </c>
      <c r="E203" s="85">
        <v>-0.00185103339116921</v>
      </c>
      <c r="F203" s="82">
        <v>18.71185103339117</v>
      </c>
      <c r="G203" s="82">
        <v>18.71</v>
      </c>
      <c r="H203" s="82">
        <v>334544.3808</v>
      </c>
      <c r="I203" s="112">
        <v>1.42</v>
      </c>
      <c r="J203" s="58">
        <v>24462.623999999996</v>
      </c>
      <c r="K203" s="82">
        <v>0.32</v>
      </c>
      <c r="L203" s="58">
        <v>5512.704</v>
      </c>
      <c r="M203" s="43">
        <v>0.03</v>
      </c>
      <c r="N203" s="58">
        <v>516.816</v>
      </c>
      <c r="O203" s="82"/>
      <c r="P203" s="58">
        <v>0</v>
      </c>
      <c r="Q203" s="43">
        <v>0.93</v>
      </c>
      <c r="R203" s="58">
        <v>16021.295999999998</v>
      </c>
      <c r="S203" s="83">
        <v>0.09</v>
      </c>
      <c r="T203" s="58">
        <v>1550.4479999999999</v>
      </c>
      <c r="U203" s="82">
        <v>2.55</v>
      </c>
      <c r="V203" s="58">
        <v>43929.36</v>
      </c>
      <c r="W203" s="120">
        <v>0.19785103339116672</v>
      </c>
      <c r="X203" s="146">
        <v>15600</v>
      </c>
      <c r="Y203" s="38"/>
      <c r="Z203" s="58">
        <v>0</v>
      </c>
      <c r="AA203" s="58"/>
      <c r="AB203" s="58"/>
      <c r="AC203" s="169">
        <v>7.21</v>
      </c>
      <c r="AD203" s="58">
        <v>124208.112</v>
      </c>
      <c r="AE203" s="84"/>
      <c r="AF203" s="58">
        <v>0</v>
      </c>
      <c r="AG203" s="83">
        <v>1.21</v>
      </c>
      <c r="AH203" s="64">
        <v>20844.911999999997</v>
      </c>
      <c r="AI203" s="82"/>
      <c r="AJ203" s="64">
        <v>0</v>
      </c>
      <c r="AK203" s="85">
        <v>0.902</v>
      </c>
      <c r="AL203" s="66">
        <v>15538.9344</v>
      </c>
      <c r="AM203" s="56">
        <v>2.662</v>
      </c>
      <c r="AN203" s="66">
        <v>45858.806399999994</v>
      </c>
      <c r="AO203" s="17">
        <v>1.19</v>
      </c>
      <c r="AP203" s="74">
        <v>1.03</v>
      </c>
      <c r="AQ203" s="74">
        <v>0.16</v>
      </c>
      <c r="AR203" s="74">
        <v>20500.368</v>
      </c>
    </row>
    <row r="204" spans="1:44" ht="12.75">
      <c r="A204" s="6"/>
      <c r="B204" s="80"/>
      <c r="C204" s="81" t="s">
        <v>244</v>
      </c>
      <c r="D204" s="170">
        <v>5135</v>
      </c>
      <c r="E204" s="85">
        <v>0.004385589094450637</v>
      </c>
      <c r="F204" s="82">
        <v>30.97561441090555</v>
      </c>
      <c r="G204" s="82">
        <v>30.98</v>
      </c>
      <c r="H204" s="82">
        <v>1908717.36</v>
      </c>
      <c r="I204" s="112">
        <v>1.42</v>
      </c>
      <c r="J204" s="58">
        <v>87500.4</v>
      </c>
      <c r="K204" s="82">
        <v>0.32</v>
      </c>
      <c r="L204" s="58">
        <v>19718.4</v>
      </c>
      <c r="M204" s="43">
        <v>0.03</v>
      </c>
      <c r="N204" s="58">
        <v>1848.6</v>
      </c>
      <c r="O204" s="82"/>
      <c r="P204" s="58">
        <v>0</v>
      </c>
      <c r="Q204" s="43">
        <v>0.93</v>
      </c>
      <c r="R204" s="58">
        <v>57306.6</v>
      </c>
      <c r="S204" s="83">
        <v>0.09</v>
      </c>
      <c r="T204" s="58">
        <v>5545.8</v>
      </c>
      <c r="U204" s="82">
        <v>3.94</v>
      </c>
      <c r="V204" s="58">
        <v>242782.8</v>
      </c>
      <c r="W204" s="121"/>
      <c r="X204" s="147"/>
      <c r="Y204" s="38"/>
      <c r="Z204" s="58">
        <v>0</v>
      </c>
      <c r="AA204" s="58"/>
      <c r="AB204" s="58"/>
      <c r="AC204" s="169">
        <v>10.92</v>
      </c>
      <c r="AD204" s="58">
        <v>672890.4</v>
      </c>
      <c r="AE204" s="83">
        <v>7.36161441090555</v>
      </c>
      <c r="AF204" s="58">
        <v>453622.68</v>
      </c>
      <c r="AG204" s="83">
        <v>1.21</v>
      </c>
      <c r="AH204" s="64">
        <v>74560.2</v>
      </c>
      <c r="AI204" s="82"/>
      <c r="AJ204" s="64">
        <v>0</v>
      </c>
      <c r="AK204" s="85">
        <v>0.902</v>
      </c>
      <c r="AL204" s="66">
        <v>55581.24</v>
      </c>
      <c r="AM204" s="56">
        <v>2.662</v>
      </c>
      <c r="AN204" s="66">
        <v>164032.44</v>
      </c>
      <c r="AO204" s="17">
        <v>1.19</v>
      </c>
      <c r="AP204" s="74">
        <v>1.03</v>
      </c>
      <c r="AQ204" s="74">
        <v>0.16</v>
      </c>
      <c r="AR204" s="74">
        <v>73327.8</v>
      </c>
    </row>
    <row r="205" spans="1:44" ht="12.75">
      <c r="A205" s="6">
        <v>189</v>
      </c>
      <c r="B205" s="80">
        <v>11</v>
      </c>
      <c r="C205" s="81" t="s">
        <v>135</v>
      </c>
      <c r="D205" s="43">
        <v>1669.1</v>
      </c>
      <c r="E205" s="85">
        <v>-0.0028628602240701184</v>
      </c>
      <c r="F205" s="82">
        <v>17.60286286022407</v>
      </c>
      <c r="G205" s="82">
        <v>17.6</v>
      </c>
      <c r="H205" s="82">
        <v>352571.26080000005</v>
      </c>
      <c r="I205" s="112">
        <v>1.86</v>
      </c>
      <c r="J205" s="58">
        <v>37254.312</v>
      </c>
      <c r="K205" s="82">
        <v>0.32</v>
      </c>
      <c r="L205" s="58">
        <v>6409.343999999999</v>
      </c>
      <c r="M205" s="43">
        <v>0.06</v>
      </c>
      <c r="N205" s="58">
        <v>1201.752</v>
      </c>
      <c r="O205" s="83"/>
      <c r="P205" s="58">
        <v>0</v>
      </c>
      <c r="Q205" s="12">
        <v>0.93</v>
      </c>
      <c r="R205" s="58">
        <v>18627.156</v>
      </c>
      <c r="S205" s="82">
        <v>0.09</v>
      </c>
      <c r="T205" s="58">
        <v>1802.628</v>
      </c>
      <c r="U205" s="82">
        <v>2.97</v>
      </c>
      <c r="V205" s="58">
        <v>59486.724</v>
      </c>
      <c r="W205" s="85">
        <v>0.7788628602240729</v>
      </c>
      <c r="X205" s="58">
        <v>15600</v>
      </c>
      <c r="Y205" s="38"/>
      <c r="Z205" s="58">
        <v>0</v>
      </c>
      <c r="AA205" s="58"/>
      <c r="AB205" s="58"/>
      <c r="AC205" s="169">
        <v>5.84</v>
      </c>
      <c r="AD205" s="58">
        <v>116970.52799999999</v>
      </c>
      <c r="AE205" s="84">
        <v>0</v>
      </c>
      <c r="AF205" s="58">
        <v>0</v>
      </c>
      <c r="AG205" s="84"/>
      <c r="AH205" s="64">
        <v>0</v>
      </c>
      <c r="AI205" s="82"/>
      <c r="AJ205" s="64">
        <v>0</v>
      </c>
      <c r="AK205" s="85">
        <v>0.902</v>
      </c>
      <c r="AL205" s="66">
        <v>18066.3384</v>
      </c>
      <c r="AM205" s="56">
        <v>2.662</v>
      </c>
      <c r="AN205" s="66">
        <v>53317.7304</v>
      </c>
      <c r="AO205" s="17">
        <v>1.19</v>
      </c>
      <c r="AP205" s="74">
        <v>1.03</v>
      </c>
      <c r="AQ205" s="74">
        <v>0.16</v>
      </c>
      <c r="AR205" s="74">
        <v>23834.748</v>
      </c>
    </row>
    <row r="206" spans="1:44" ht="12.75">
      <c r="A206" s="2">
        <v>190</v>
      </c>
      <c r="B206" s="38">
        <v>12</v>
      </c>
      <c r="C206" s="81" t="s">
        <v>136</v>
      </c>
      <c r="D206" s="64">
        <v>2421</v>
      </c>
      <c r="E206" s="85">
        <v>-0.0009681949607589502</v>
      </c>
      <c r="F206" s="82">
        <v>16.82096819496076</v>
      </c>
      <c r="G206" s="82">
        <v>16.82</v>
      </c>
      <c r="H206" s="82">
        <v>488682.7679999999</v>
      </c>
      <c r="I206" s="5">
        <v>1.77</v>
      </c>
      <c r="J206" s="58">
        <v>51422.04</v>
      </c>
      <c r="K206" s="82">
        <v>0.3</v>
      </c>
      <c r="L206" s="58">
        <v>8715.6</v>
      </c>
      <c r="M206" s="12">
        <v>0.06</v>
      </c>
      <c r="N206" s="58">
        <v>1743.12</v>
      </c>
      <c r="O206" s="82"/>
      <c r="P206" s="58">
        <v>0</v>
      </c>
      <c r="Q206" s="12">
        <v>0.88</v>
      </c>
      <c r="R206" s="58">
        <v>25565.76</v>
      </c>
      <c r="S206" s="82">
        <v>0.08</v>
      </c>
      <c r="T206" s="58">
        <v>2324.16</v>
      </c>
      <c r="U206" s="82">
        <v>2.3</v>
      </c>
      <c r="V206" s="58">
        <v>66819.6</v>
      </c>
      <c r="W206" s="85">
        <v>0.53696819496076</v>
      </c>
      <c r="X206" s="58">
        <v>15600</v>
      </c>
      <c r="Y206" s="38"/>
      <c r="Z206" s="58">
        <v>0</v>
      </c>
      <c r="AA206" s="58"/>
      <c r="AB206" s="58"/>
      <c r="AC206" s="169">
        <v>6.14</v>
      </c>
      <c r="AD206" s="58">
        <v>178379.28</v>
      </c>
      <c r="AE206" s="58">
        <v>0</v>
      </c>
      <c r="AF206" s="58">
        <v>0</v>
      </c>
      <c r="AG206" s="58"/>
      <c r="AH206" s="64">
        <v>0</v>
      </c>
      <c r="AI206" s="82"/>
      <c r="AJ206" s="64">
        <v>0</v>
      </c>
      <c r="AK206" s="85">
        <v>0.902</v>
      </c>
      <c r="AL206" s="66">
        <v>26204.904000000002</v>
      </c>
      <c r="AM206" s="56">
        <v>2.662</v>
      </c>
      <c r="AN206" s="66">
        <v>77336.424</v>
      </c>
      <c r="AO206" s="17">
        <v>1.19</v>
      </c>
      <c r="AP206" s="74">
        <v>1.03</v>
      </c>
      <c r="AQ206" s="74">
        <v>0.16</v>
      </c>
      <c r="AR206" s="74">
        <v>34571.88</v>
      </c>
    </row>
    <row r="207" spans="1:44" ht="12.75">
      <c r="A207" s="2">
        <v>191</v>
      </c>
      <c r="B207" s="38">
        <v>13</v>
      </c>
      <c r="C207" s="81" t="s">
        <v>137</v>
      </c>
      <c r="D207" s="43">
        <v>6280.6</v>
      </c>
      <c r="E207" s="85">
        <v>-0.004869662134190378</v>
      </c>
      <c r="F207" s="82">
        <v>17.604869662134192</v>
      </c>
      <c r="G207" s="82">
        <v>17.6</v>
      </c>
      <c r="H207" s="82">
        <v>1326829.7327999999</v>
      </c>
      <c r="I207" s="112">
        <v>1.86</v>
      </c>
      <c r="J207" s="58">
        <v>140182.99200000003</v>
      </c>
      <c r="K207" s="82">
        <v>0.32</v>
      </c>
      <c r="L207" s="58">
        <v>24117.504</v>
      </c>
      <c r="M207" s="43">
        <v>0.06</v>
      </c>
      <c r="N207" s="58">
        <v>4522.032</v>
      </c>
      <c r="O207" s="83">
        <v>0.05</v>
      </c>
      <c r="P207" s="58">
        <v>3768.36</v>
      </c>
      <c r="Q207" s="12">
        <v>0.93</v>
      </c>
      <c r="R207" s="58">
        <v>70091.49600000001</v>
      </c>
      <c r="S207" s="82">
        <v>0.09</v>
      </c>
      <c r="T207" s="58">
        <v>6783.048000000001</v>
      </c>
      <c r="U207" s="82">
        <v>4.83</v>
      </c>
      <c r="V207" s="58">
        <v>364023.576</v>
      </c>
      <c r="W207" s="85">
        <v>0.230869662134191</v>
      </c>
      <c r="X207" s="58">
        <v>17400</v>
      </c>
      <c r="Y207" s="38"/>
      <c r="Z207" s="58">
        <v>0</v>
      </c>
      <c r="AA207" s="58"/>
      <c r="AB207" s="58"/>
      <c r="AC207" s="169">
        <v>4.48</v>
      </c>
      <c r="AD207" s="58">
        <v>337645.05600000004</v>
      </c>
      <c r="AE207" s="84">
        <v>0</v>
      </c>
      <c r="AF207" s="58">
        <v>0</v>
      </c>
      <c r="AG207" s="84"/>
      <c r="AH207" s="64">
        <v>0</v>
      </c>
      <c r="AI207" s="82"/>
      <c r="AJ207" s="64">
        <v>0</v>
      </c>
      <c r="AK207" s="85">
        <v>0.902</v>
      </c>
      <c r="AL207" s="66">
        <v>67981.2144</v>
      </c>
      <c r="AM207" s="56">
        <v>2.662</v>
      </c>
      <c r="AN207" s="66">
        <v>200627.4864</v>
      </c>
      <c r="AO207" s="17">
        <v>1.19</v>
      </c>
      <c r="AP207" s="74">
        <v>1.03</v>
      </c>
      <c r="AQ207" s="74">
        <v>0.16</v>
      </c>
      <c r="AR207" s="74">
        <v>89686.968</v>
      </c>
    </row>
    <row r="208" spans="1:44" ht="12.75">
      <c r="A208" s="2">
        <v>192</v>
      </c>
      <c r="B208" s="38">
        <v>14</v>
      </c>
      <c r="C208" s="81" t="s">
        <v>138</v>
      </c>
      <c r="D208" s="170">
        <v>1468.6</v>
      </c>
      <c r="E208" s="85">
        <v>-0.004920604657495886</v>
      </c>
      <c r="F208" s="82">
        <v>17.604920604657497</v>
      </c>
      <c r="G208" s="82">
        <v>17.6</v>
      </c>
      <c r="H208" s="82">
        <v>310255.0368</v>
      </c>
      <c r="I208" s="112">
        <v>1.86</v>
      </c>
      <c r="J208" s="58">
        <v>32779.152</v>
      </c>
      <c r="K208" s="82">
        <v>0.32</v>
      </c>
      <c r="L208" s="58">
        <v>5639.424</v>
      </c>
      <c r="M208" s="43">
        <v>0.06</v>
      </c>
      <c r="N208" s="58">
        <v>1057.3919999999998</v>
      </c>
      <c r="O208" s="83"/>
      <c r="P208" s="58">
        <v>0</v>
      </c>
      <c r="Q208" s="12">
        <v>0.93</v>
      </c>
      <c r="R208" s="58">
        <v>16389.576</v>
      </c>
      <c r="S208" s="82">
        <v>0.09</v>
      </c>
      <c r="T208" s="58">
        <v>1586.0879999999997</v>
      </c>
      <c r="U208" s="82">
        <v>3.34</v>
      </c>
      <c r="V208" s="58">
        <v>58861.48799999998</v>
      </c>
      <c r="W208" s="85">
        <v>0.6809206046574969</v>
      </c>
      <c r="X208" s="58">
        <v>12000</v>
      </c>
      <c r="Y208" s="38"/>
      <c r="Z208" s="58">
        <v>0</v>
      </c>
      <c r="AA208" s="58"/>
      <c r="AB208" s="58"/>
      <c r="AC208" s="169">
        <v>5.57</v>
      </c>
      <c r="AD208" s="58">
        <v>98161.224</v>
      </c>
      <c r="AE208" s="84">
        <v>0</v>
      </c>
      <c r="AF208" s="58">
        <v>0</v>
      </c>
      <c r="AG208" s="84"/>
      <c r="AH208" s="64">
        <v>0</v>
      </c>
      <c r="AI208" s="82"/>
      <c r="AJ208" s="64">
        <v>0</v>
      </c>
      <c r="AK208" s="85">
        <v>0.902</v>
      </c>
      <c r="AL208" s="66">
        <v>15896.126399999997</v>
      </c>
      <c r="AM208" s="56">
        <v>2.662</v>
      </c>
      <c r="AN208" s="66">
        <v>46912.958399999996</v>
      </c>
      <c r="AO208" s="17">
        <v>1.19</v>
      </c>
      <c r="AP208" s="74">
        <v>1.03</v>
      </c>
      <c r="AQ208" s="74">
        <v>0.16</v>
      </c>
      <c r="AR208" s="74">
        <v>20971.607999999997</v>
      </c>
    </row>
    <row r="209" spans="1:44" ht="12.75">
      <c r="A209" s="2">
        <v>193</v>
      </c>
      <c r="B209" s="38">
        <v>15</v>
      </c>
      <c r="C209" s="81" t="s">
        <v>139</v>
      </c>
      <c r="D209" s="43">
        <v>2397.6</v>
      </c>
      <c r="E209" s="85">
        <v>-0.0010837504170808643</v>
      </c>
      <c r="F209" s="82">
        <v>17.601083750417082</v>
      </c>
      <c r="G209" s="82">
        <v>17.6</v>
      </c>
      <c r="H209" s="82">
        <v>506404.30079999997</v>
      </c>
      <c r="I209" s="112">
        <v>1.86</v>
      </c>
      <c r="J209" s="58">
        <v>53514.432</v>
      </c>
      <c r="K209" s="82">
        <v>0.32</v>
      </c>
      <c r="L209" s="58">
        <v>9206.784</v>
      </c>
      <c r="M209" s="43">
        <v>0.06</v>
      </c>
      <c r="N209" s="58">
        <v>1726.272</v>
      </c>
      <c r="O209" s="83"/>
      <c r="P209" s="58">
        <v>0</v>
      </c>
      <c r="Q209" s="12">
        <v>0.93</v>
      </c>
      <c r="R209" s="58">
        <v>26757.216</v>
      </c>
      <c r="S209" s="82">
        <v>0.09</v>
      </c>
      <c r="T209" s="58">
        <v>2589.408</v>
      </c>
      <c r="U209" s="82">
        <v>3.33</v>
      </c>
      <c r="V209" s="58">
        <v>95808.09599999999</v>
      </c>
      <c r="W209" s="85">
        <v>0.41708375041708373</v>
      </c>
      <c r="X209" s="58">
        <v>12000</v>
      </c>
      <c r="Y209" s="38"/>
      <c r="Z209" s="58">
        <v>0</v>
      </c>
      <c r="AA209" s="58"/>
      <c r="AB209" s="58"/>
      <c r="AC209" s="169">
        <v>5.84</v>
      </c>
      <c r="AD209" s="58">
        <v>168023.808</v>
      </c>
      <c r="AE209" s="84">
        <v>0</v>
      </c>
      <c r="AF209" s="58">
        <v>0</v>
      </c>
      <c r="AG209" s="84"/>
      <c r="AH209" s="64">
        <v>0</v>
      </c>
      <c r="AI209" s="82"/>
      <c r="AJ209" s="64">
        <v>0</v>
      </c>
      <c r="AK209" s="85">
        <v>0.902</v>
      </c>
      <c r="AL209" s="66">
        <v>25951.6224</v>
      </c>
      <c r="AM209" s="56">
        <v>2.662</v>
      </c>
      <c r="AN209" s="66">
        <v>76588.9344</v>
      </c>
      <c r="AO209" s="17">
        <v>1.19</v>
      </c>
      <c r="AP209" s="74">
        <v>1.03</v>
      </c>
      <c r="AQ209" s="74">
        <v>0.16</v>
      </c>
      <c r="AR209" s="74">
        <v>34237.727999999996</v>
      </c>
    </row>
    <row r="210" spans="1:44" ht="12.75">
      <c r="A210" s="2">
        <v>194</v>
      </c>
      <c r="B210" s="38">
        <v>16</v>
      </c>
      <c r="C210" s="81" t="s">
        <v>140</v>
      </c>
      <c r="D210" s="43">
        <v>1259.1</v>
      </c>
      <c r="E210" s="85">
        <v>0.0017819077118588211</v>
      </c>
      <c r="F210" s="82">
        <v>17.598218092288143</v>
      </c>
      <c r="G210" s="82">
        <v>17.6</v>
      </c>
      <c r="H210" s="82">
        <v>265894.9968</v>
      </c>
      <c r="I210" s="112">
        <v>1.86</v>
      </c>
      <c r="J210" s="58">
        <v>28103.112</v>
      </c>
      <c r="K210" s="82">
        <v>0.32</v>
      </c>
      <c r="L210" s="58">
        <v>4834.9439999999995</v>
      </c>
      <c r="M210" s="43">
        <v>0.06</v>
      </c>
      <c r="N210" s="58">
        <v>906.5519999999999</v>
      </c>
      <c r="O210" s="83"/>
      <c r="P210" s="58">
        <v>0</v>
      </c>
      <c r="Q210" s="12">
        <v>0.93</v>
      </c>
      <c r="R210" s="58">
        <v>14051.556</v>
      </c>
      <c r="S210" s="82">
        <v>0.09</v>
      </c>
      <c r="T210" s="58">
        <v>1359.828</v>
      </c>
      <c r="U210" s="82">
        <v>4.11</v>
      </c>
      <c r="V210" s="58">
        <v>62098.81199999999</v>
      </c>
      <c r="W210" s="85">
        <v>0.7942180922881423</v>
      </c>
      <c r="X210" s="58">
        <v>12000</v>
      </c>
      <c r="Y210" s="38"/>
      <c r="Z210" s="58">
        <v>0</v>
      </c>
      <c r="AA210" s="58"/>
      <c r="AB210" s="58"/>
      <c r="AC210" s="169">
        <v>4.68</v>
      </c>
      <c r="AD210" s="58">
        <v>70711.05600000001</v>
      </c>
      <c r="AE210" s="84">
        <v>0</v>
      </c>
      <c r="AF210" s="58">
        <v>0</v>
      </c>
      <c r="AG210" s="84"/>
      <c r="AH210" s="64">
        <v>0</v>
      </c>
      <c r="AI210" s="82"/>
      <c r="AJ210" s="64">
        <v>0</v>
      </c>
      <c r="AK210" s="85">
        <v>0.902</v>
      </c>
      <c r="AL210" s="66">
        <v>13628.4984</v>
      </c>
      <c r="AM210" s="56">
        <v>2.662</v>
      </c>
      <c r="AN210" s="66">
        <v>40220.69039999999</v>
      </c>
      <c r="AO210" s="17">
        <v>1.19</v>
      </c>
      <c r="AP210" s="74">
        <v>1.03</v>
      </c>
      <c r="AQ210" s="74">
        <v>0.16</v>
      </c>
      <c r="AR210" s="74">
        <v>17979.947999999997</v>
      </c>
    </row>
    <row r="211" spans="1:44" ht="12.75">
      <c r="A211" s="2">
        <v>195</v>
      </c>
      <c r="B211" s="38">
        <v>17</v>
      </c>
      <c r="C211" s="81" t="s">
        <v>141</v>
      </c>
      <c r="D211" s="43">
        <v>6279.3</v>
      </c>
      <c r="E211" s="85">
        <v>-0.0049174589524305645</v>
      </c>
      <c r="F211" s="82">
        <v>17.604917458952432</v>
      </c>
      <c r="G211" s="82">
        <v>17.6</v>
      </c>
      <c r="H211" s="82">
        <v>1326558.6984</v>
      </c>
      <c r="I211" s="112">
        <v>1.86</v>
      </c>
      <c r="J211" s="58">
        <v>140153.97600000002</v>
      </c>
      <c r="K211" s="82">
        <v>0.32</v>
      </c>
      <c r="L211" s="58">
        <v>24112.512000000002</v>
      </c>
      <c r="M211" s="43">
        <v>0.06</v>
      </c>
      <c r="N211" s="58">
        <v>4521.096</v>
      </c>
      <c r="O211" s="83">
        <v>0.05</v>
      </c>
      <c r="P211" s="58">
        <v>3767.58</v>
      </c>
      <c r="Q211" s="12">
        <v>0.93</v>
      </c>
      <c r="R211" s="58">
        <v>70076.98800000001</v>
      </c>
      <c r="S211" s="82">
        <v>0.09</v>
      </c>
      <c r="T211" s="58">
        <v>6781.643999999999</v>
      </c>
      <c r="U211" s="82">
        <v>3.14</v>
      </c>
      <c r="V211" s="58">
        <v>236604.02400000003</v>
      </c>
      <c r="W211" s="85">
        <v>0.230917458952431</v>
      </c>
      <c r="X211" s="58">
        <v>17400</v>
      </c>
      <c r="Y211" s="38"/>
      <c r="Z211" s="58">
        <v>0</v>
      </c>
      <c r="AA211" s="58"/>
      <c r="AB211" s="58"/>
      <c r="AC211" s="169">
        <v>6.17</v>
      </c>
      <c r="AD211" s="58">
        <v>464919.37200000003</v>
      </c>
      <c r="AE211" s="84">
        <v>0</v>
      </c>
      <c r="AF211" s="58">
        <v>0</v>
      </c>
      <c r="AG211" s="84"/>
      <c r="AH211" s="64">
        <v>0</v>
      </c>
      <c r="AI211" s="82"/>
      <c r="AJ211" s="64">
        <v>0</v>
      </c>
      <c r="AK211" s="85">
        <v>0.902</v>
      </c>
      <c r="AL211" s="66">
        <v>67967.1432</v>
      </c>
      <c r="AM211" s="56">
        <v>2.662</v>
      </c>
      <c r="AN211" s="66">
        <v>200585.95919999998</v>
      </c>
      <c r="AO211" s="17">
        <v>1.19</v>
      </c>
      <c r="AP211" s="74">
        <v>1.03</v>
      </c>
      <c r="AQ211" s="74">
        <v>0.16</v>
      </c>
      <c r="AR211" s="74">
        <v>89668.40400000001</v>
      </c>
    </row>
    <row r="212" spans="1:44" ht="12.75">
      <c r="A212" s="2">
        <v>196</v>
      </c>
      <c r="B212" s="38">
        <v>18</v>
      </c>
      <c r="C212" s="81" t="s">
        <v>142</v>
      </c>
      <c r="D212" s="43">
        <v>1263.4</v>
      </c>
      <c r="E212" s="85">
        <v>-0.004000000000001336</v>
      </c>
      <c r="F212" s="82">
        <v>17.604000000000003</v>
      </c>
      <c r="G212" s="82">
        <v>17.6</v>
      </c>
      <c r="H212" s="82">
        <v>266890.7232</v>
      </c>
      <c r="I212" s="112">
        <v>1.86</v>
      </c>
      <c r="J212" s="58">
        <v>28199.088000000003</v>
      </c>
      <c r="K212" s="82">
        <v>0.32</v>
      </c>
      <c r="L212" s="58">
        <v>4851.456</v>
      </c>
      <c r="M212" s="43">
        <v>0.06</v>
      </c>
      <c r="N212" s="58">
        <v>909.648</v>
      </c>
      <c r="O212" s="83"/>
      <c r="P212" s="58">
        <v>0</v>
      </c>
      <c r="Q212" s="12">
        <v>0.93</v>
      </c>
      <c r="R212" s="58">
        <v>14099.544000000002</v>
      </c>
      <c r="S212" s="82">
        <v>0.09</v>
      </c>
      <c r="T212" s="58">
        <v>1364.472</v>
      </c>
      <c r="U212" s="82">
        <v>2.84</v>
      </c>
      <c r="V212" s="58">
        <v>43056.672</v>
      </c>
      <c r="W212" s="38"/>
      <c r="X212" s="58"/>
      <c r="Y212" s="38"/>
      <c r="Z212" s="58">
        <v>0</v>
      </c>
      <c r="AA212" s="58"/>
      <c r="AB212" s="58"/>
      <c r="AC212" s="169">
        <v>6.75</v>
      </c>
      <c r="AD212" s="58">
        <v>102335.4</v>
      </c>
      <c r="AE212" s="84">
        <v>0</v>
      </c>
      <c r="AF212" s="58">
        <v>0</v>
      </c>
      <c r="AG212" s="84"/>
      <c r="AH212" s="64">
        <v>0</v>
      </c>
      <c r="AI212" s="82"/>
      <c r="AJ212" s="64">
        <v>0</v>
      </c>
      <c r="AK212" s="85">
        <v>0.902</v>
      </c>
      <c r="AL212" s="66">
        <v>13675.0416</v>
      </c>
      <c r="AM212" s="56">
        <v>2.662</v>
      </c>
      <c r="AN212" s="66">
        <v>40358.049600000006</v>
      </c>
      <c r="AO212" s="17">
        <v>1.19</v>
      </c>
      <c r="AP212" s="74">
        <v>1.03</v>
      </c>
      <c r="AQ212" s="74">
        <v>0.16</v>
      </c>
      <c r="AR212" s="74">
        <v>18041.352000000003</v>
      </c>
    </row>
    <row r="213" spans="1:44" ht="12.75">
      <c r="A213" s="2">
        <v>197</v>
      </c>
      <c r="B213" s="38">
        <v>19</v>
      </c>
      <c r="C213" s="81" t="s">
        <v>143</v>
      </c>
      <c r="D213" s="43">
        <v>2413.5</v>
      </c>
      <c r="E213" s="85">
        <v>0.0016639734824970276</v>
      </c>
      <c r="F213" s="82">
        <v>17.598336026517504</v>
      </c>
      <c r="G213" s="82">
        <v>17.6</v>
      </c>
      <c r="H213" s="82">
        <v>509683.00800000003</v>
      </c>
      <c r="I213" s="112">
        <v>1.86</v>
      </c>
      <c r="J213" s="58">
        <v>53869.32</v>
      </c>
      <c r="K213" s="82">
        <v>0.32</v>
      </c>
      <c r="L213" s="58">
        <v>9267.84</v>
      </c>
      <c r="M213" s="43">
        <v>0.06</v>
      </c>
      <c r="N213" s="58">
        <v>1737.72</v>
      </c>
      <c r="O213" s="83">
        <v>0.05</v>
      </c>
      <c r="P213" s="58">
        <v>1448.1</v>
      </c>
      <c r="Q213" s="12">
        <v>0.93</v>
      </c>
      <c r="R213" s="58">
        <v>26934.66</v>
      </c>
      <c r="S213" s="82">
        <v>0.09</v>
      </c>
      <c r="T213" s="58">
        <v>2606.58</v>
      </c>
      <c r="U213" s="82">
        <v>3.26</v>
      </c>
      <c r="V213" s="58">
        <v>94416.12</v>
      </c>
      <c r="W213" s="85">
        <v>0.41433602651750573</v>
      </c>
      <c r="X213" s="58">
        <v>12000</v>
      </c>
      <c r="Y213" s="38"/>
      <c r="Z213" s="58">
        <v>0</v>
      </c>
      <c r="AA213" s="58"/>
      <c r="AB213" s="58"/>
      <c r="AC213" s="169">
        <v>5.86</v>
      </c>
      <c r="AD213" s="58">
        <v>169717.32</v>
      </c>
      <c r="AE213" s="84">
        <v>0</v>
      </c>
      <c r="AF213" s="58">
        <v>0</v>
      </c>
      <c r="AG213" s="84"/>
      <c r="AH213" s="64">
        <v>0</v>
      </c>
      <c r="AI213" s="82"/>
      <c r="AJ213" s="64">
        <v>0</v>
      </c>
      <c r="AK213" s="85">
        <v>0.902</v>
      </c>
      <c r="AL213" s="66">
        <v>26123.724</v>
      </c>
      <c r="AM213" s="56">
        <v>2.662</v>
      </c>
      <c r="AN213" s="66">
        <v>77096.844</v>
      </c>
      <c r="AO213" s="17">
        <v>1.19</v>
      </c>
      <c r="AP213" s="74">
        <v>1.03</v>
      </c>
      <c r="AQ213" s="74">
        <v>0.16</v>
      </c>
      <c r="AR213" s="74">
        <v>34464.78</v>
      </c>
    </row>
    <row r="214" spans="1:44" ht="12.75">
      <c r="A214" s="2">
        <v>198</v>
      </c>
      <c r="B214" s="38">
        <v>20</v>
      </c>
      <c r="C214" s="81" t="s">
        <v>144</v>
      </c>
      <c r="D214" s="43">
        <v>2448.28</v>
      </c>
      <c r="E214" s="85">
        <v>-0.002450013887301594</v>
      </c>
      <c r="F214" s="82">
        <v>17.602450013887303</v>
      </c>
      <c r="G214" s="82">
        <v>17.6</v>
      </c>
      <c r="H214" s="82">
        <v>517148.71583999996</v>
      </c>
      <c r="I214" s="112">
        <v>1.86</v>
      </c>
      <c r="J214" s="58">
        <v>54645.60960000001</v>
      </c>
      <c r="K214" s="82">
        <v>0.32</v>
      </c>
      <c r="L214" s="58">
        <v>9401.3952</v>
      </c>
      <c r="M214" s="43">
        <v>0.06</v>
      </c>
      <c r="N214" s="58">
        <v>1762.7616000000003</v>
      </c>
      <c r="O214" s="83">
        <v>0.05</v>
      </c>
      <c r="P214" s="58">
        <v>1468.9680000000003</v>
      </c>
      <c r="Q214" s="12">
        <v>0.93</v>
      </c>
      <c r="R214" s="58">
        <v>27322.804800000005</v>
      </c>
      <c r="S214" s="82">
        <v>0.09</v>
      </c>
      <c r="T214" s="58">
        <v>2644.1424</v>
      </c>
      <c r="U214" s="82">
        <v>2.79</v>
      </c>
      <c r="V214" s="58">
        <v>81968.4144</v>
      </c>
      <c r="W214" s="85">
        <v>0.40845001388730046</v>
      </c>
      <c r="X214" s="58">
        <v>12000</v>
      </c>
      <c r="Y214" s="38"/>
      <c r="Z214" s="58">
        <v>0</v>
      </c>
      <c r="AA214" s="58"/>
      <c r="AB214" s="58"/>
      <c r="AC214" s="169">
        <v>6.34</v>
      </c>
      <c r="AD214" s="58">
        <v>186265.1424</v>
      </c>
      <c r="AE214" s="84">
        <v>0</v>
      </c>
      <c r="AF214" s="58">
        <v>0</v>
      </c>
      <c r="AG214" s="84"/>
      <c r="AH214" s="64">
        <v>0</v>
      </c>
      <c r="AI214" s="82"/>
      <c r="AJ214" s="64">
        <v>0</v>
      </c>
      <c r="AK214" s="85">
        <v>0.902</v>
      </c>
      <c r="AL214" s="66">
        <v>26500.182720000004</v>
      </c>
      <c r="AM214" s="56">
        <v>2.662</v>
      </c>
      <c r="AN214" s="66">
        <v>78207.85631999999</v>
      </c>
      <c r="AO214" s="17">
        <v>1.19</v>
      </c>
      <c r="AP214" s="74">
        <v>1.03</v>
      </c>
      <c r="AQ214" s="74">
        <v>0.16</v>
      </c>
      <c r="AR214" s="74">
        <v>34961.4384</v>
      </c>
    </row>
    <row r="215" spans="1:44" ht="12.75">
      <c r="A215" s="2">
        <v>199</v>
      </c>
      <c r="B215" s="38">
        <v>21</v>
      </c>
      <c r="C215" s="81" t="s">
        <v>145</v>
      </c>
      <c r="D215" s="43">
        <v>3086.1</v>
      </c>
      <c r="E215" s="85">
        <v>0.0019664301221595792</v>
      </c>
      <c r="F215" s="82">
        <v>17.598033569877842</v>
      </c>
      <c r="G215" s="82">
        <v>17.6</v>
      </c>
      <c r="H215" s="82">
        <v>651711.4968</v>
      </c>
      <c r="I215" s="112">
        <v>1.86</v>
      </c>
      <c r="J215" s="58">
        <v>68881.752</v>
      </c>
      <c r="K215" s="82">
        <v>0.32</v>
      </c>
      <c r="L215" s="58">
        <v>11850.624</v>
      </c>
      <c r="M215" s="43">
        <v>0.06</v>
      </c>
      <c r="N215" s="58">
        <v>2221.992</v>
      </c>
      <c r="O215" s="83"/>
      <c r="P215" s="58">
        <v>0</v>
      </c>
      <c r="Q215" s="12">
        <v>0.93</v>
      </c>
      <c r="R215" s="58">
        <v>34440.876</v>
      </c>
      <c r="S215" s="82">
        <v>0.09</v>
      </c>
      <c r="T215" s="58">
        <v>3332.9879999999994</v>
      </c>
      <c r="U215" s="82">
        <v>2.84</v>
      </c>
      <c r="V215" s="58">
        <v>105174.288</v>
      </c>
      <c r="W215" s="85">
        <v>0.3240335698778393</v>
      </c>
      <c r="X215" s="58">
        <v>12000</v>
      </c>
      <c r="Y215" s="38"/>
      <c r="Z215" s="58">
        <v>0</v>
      </c>
      <c r="AA215" s="58"/>
      <c r="AB215" s="58"/>
      <c r="AC215" s="169">
        <v>6.42</v>
      </c>
      <c r="AD215" s="58">
        <v>237753.14400000003</v>
      </c>
      <c r="AE215" s="84">
        <v>0</v>
      </c>
      <c r="AF215" s="12">
        <v>0</v>
      </c>
      <c r="AG215" s="84"/>
      <c r="AH215" s="64">
        <v>0</v>
      </c>
      <c r="AI215" s="82"/>
      <c r="AJ215" s="64">
        <v>0</v>
      </c>
      <c r="AK215" s="85">
        <v>0.902</v>
      </c>
      <c r="AL215" s="66">
        <v>33403.9464</v>
      </c>
      <c r="AM215" s="56">
        <v>2.662</v>
      </c>
      <c r="AN215" s="66">
        <v>98582.37839999999</v>
      </c>
      <c r="AO215" s="17">
        <v>1.19</v>
      </c>
      <c r="AP215" s="74">
        <v>1.03</v>
      </c>
      <c r="AQ215" s="74">
        <v>0.16</v>
      </c>
      <c r="AR215" s="74">
        <v>44069.508</v>
      </c>
    </row>
    <row r="216" spans="1:44" ht="12.75">
      <c r="A216" s="2">
        <v>200</v>
      </c>
      <c r="B216" s="38">
        <v>22</v>
      </c>
      <c r="C216" s="81" t="s">
        <v>223</v>
      </c>
      <c r="D216" s="12">
        <v>2035.9</v>
      </c>
      <c r="E216" s="85">
        <v>-0.001742423498209078</v>
      </c>
      <c r="F216" s="82">
        <v>9.091742423498209</v>
      </c>
      <c r="G216" s="82">
        <v>9.09</v>
      </c>
      <c r="H216" s="82">
        <v>222118.54080000002</v>
      </c>
      <c r="I216" s="112">
        <v>1.61</v>
      </c>
      <c r="J216" s="58">
        <v>39333.588</v>
      </c>
      <c r="K216" s="82">
        <v>0.15</v>
      </c>
      <c r="L216" s="58">
        <v>3664.62</v>
      </c>
      <c r="M216" s="43">
        <v>0</v>
      </c>
      <c r="N216" s="58">
        <v>0</v>
      </c>
      <c r="O216" s="83"/>
      <c r="P216" s="58">
        <v>0</v>
      </c>
      <c r="Q216" s="83">
        <v>0.3</v>
      </c>
      <c r="R216" s="58">
        <v>7329.24</v>
      </c>
      <c r="S216" s="83">
        <v>0.08</v>
      </c>
      <c r="T216" s="58">
        <v>1954.4640000000002</v>
      </c>
      <c r="U216" s="82">
        <v>0.92</v>
      </c>
      <c r="V216" s="58">
        <v>22476.336000000007</v>
      </c>
      <c r="W216" s="85">
        <v>0.5157424234982072</v>
      </c>
      <c r="X216" s="58">
        <v>12600</v>
      </c>
      <c r="Y216" s="38">
        <v>0.35</v>
      </c>
      <c r="Z216" s="58">
        <v>8550.78</v>
      </c>
      <c r="AA216" s="58"/>
      <c r="AB216" s="58"/>
      <c r="AC216" s="169">
        <v>0.83</v>
      </c>
      <c r="AD216" s="58">
        <v>20277.564000000002</v>
      </c>
      <c r="AE216" s="84">
        <v>0</v>
      </c>
      <c r="AF216" s="12">
        <v>0</v>
      </c>
      <c r="AG216" s="84"/>
      <c r="AH216" s="64">
        <v>0</v>
      </c>
      <c r="AI216" s="82"/>
      <c r="AJ216" s="64">
        <v>0</v>
      </c>
      <c r="AK216" s="83">
        <v>0.528</v>
      </c>
      <c r="AL216" s="66">
        <v>12899.4624</v>
      </c>
      <c r="AM216" s="82">
        <v>2.618</v>
      </c>
      <c r="AN216" s="66">
        <v>63959.83440000001</v>
      </c>
      <c r="AO216" s="17">
        <v>1.19</v>
      </c>
      <c r="AP216" s="74">
        <v>1.03</v>
      </c>
      <c r="AQ216" s="74">
        <v>0.16</v>
      </c>
      <c r="AR216" s="74">
        <v>29072.652000000002</v>
      </c>
    </row>
    <row r="217" spans="1:44" ht="12.75">
      <c r="A217" s="6">
        <v>201</v>
      </c>
      <c r="B217" s="80">
        <v>23</v>
      </c>
      <c r="C217" s="81" t="s">
        <v>146</v>
      </c>
      <c r="D217" s="12">
        <v>1891.8</v>
      </c>
      <c r="E217" s="85">
        <v>-0.004026958452268303</v>
      </c>
      <c r="F217" s="82">
        <v>11.034026958452268</v>
      </c>
      <c r="G217" s="82">
        <v>11.03</v>
      </c>
      <c r="H217" s="82">
        <v>231553.1484</v>
      </c>
      <c r="I217" s="112">
        <v>1.74</v>
      </c>
      <c r="J217" s="58">
        <v>39500.784</v>
      </c>
      <c r="K217" s="82">
        <v>0.12</v>
      </c>
      <c r="L217" s="58">
        <v>2724.192</v>
      </c>
      <c r="M217" s="43">
        <v>0</v>
      </c>
      <c r="N217" s="58">
        <v>0</v>
      </c>
      <c r="O217" s="83"/>
      <c r="P217" s="58">
        <v>0</v>
      </c>
      <c r="Q217" s="83">
        <v>0.4</v>
      </c>
      <c r="R217" s="58">
        <v>9080.64</v>
      </c>
      <c r="S217" s="83">
        <v>0.08</v>
      </c>
      <c r="T217" s="58">
        <v>1816.128</v>
      </c>
      <c r="U217" s="82">
        <v>1.88</v>
      </c>
      <c r="V217" s="58">
        <v>42679.008</v>
      </c>
      <c r="W217" s="85">
        <v>0.5550269584522677</v>
      </c>
      <c r="X217" s="58">
        <v>12600</v>
      </c>
      <c r="Y217" s="38">
        <v>0.38</v>
      </c>
      <c r="Z217" s="58">
        <v>8626.608</v>
      </c>
      <c r="AA217" s="58"/>
      <c r="AB217" s="58"/>
      <c r="AC217" s="169">
        <v>0.38</v>
      </c>
      <c r="AD217" s="58">
        <v>8626.608</v>
      </c>
      <c r="AE217" s="84">
        <v>0</v>
      </c>
      <c r="AF217" s="12">
        <v>0</v>
      </c>
      <c r="AG217" s="84"/>
      <c r="AH217" s="64">
        <v>0</v>
      </c>
      <c r="AI217" s="82">
        <v>0.91</v>
      </c>
      <c r="AJ217" s="64">
        <v>1721.538</v>
      </c>
      <c r="AK217" s="83">
        <v>0.7370000000000001</v>
      </c>
      <c r="AL217" s="66">
        <v>16731.0792</v>
      </c>
      <c r="AM217" s="56">
        <v>2.662</v>
      </c>
      <c r="AN217" s="66">
        <v>60431.659199999995</v>
      </c>
      <c r="AO217" s="17">
        <v>1.19</v>
      </c>
      <c r="AP217" s="74">
        <v>1.03</v>
      </c>
      <c r="AQ217" s="74">
        <v>0.16</v>
      </c>
      <c r="AR217" s="74">
        <v>27014.903999999995</v>
      </c>
    </row>
    <row r="218" spans="1:44" ht="12.75">
      <c r="A218" s="6">
        <v>202</v>
      </c>
      <c r="B218" s="80">
        <v>24</v>
      </c>
      <c r="C218" s="81" t="s">
        <v>147</v>
      </c>
      <c r="D218" s="170">
        <v>3064</v>
      </c>
      <c r="E218" s="85">
        <v>-0.00037075718015699977</v>
      </c>
      <c r="F218" s="82">
        <v>17.60037075718016</v>
      </c>
      <c r="G218" s="82">
        <v>17.6</v>
      </c>
      <c r="H218" s="82">
        <v>647130.432</v>
      </c>
      <c r="I218" s="112">
        <v>1.86</v>
      </c>
      <c r="J218" s="58">
        <v>68388.48</v>
      </c>
      <c r="K218" s="82">
        <v>0.32</v>
      </c>
      <c r="L218" s="58">
        <v>11765.76</v>
      </c>
      <c r="M218" s="43">
        <v>0.06</v>
      </c>
      <c r="N218" s="58">
        <v>2206.08</v>
      </c>
      <c r="O218" s="83">
        <v>0.05</v>
      </c>
      <c r="P218" s="58">
        <v>1838.4</v>
      </c>
      <c r="Q218" s="12">
        <v>0.93</v>
      </c>
      <c r="R218" s="58">
        <v>34194.24</v>
      </c>
      <c r="S218" s="82">
        <v>0.09</v>
      </c>
      <c r="T218" s="58">
        <v>3309.12</v>
      </c>
      <c r="U218" s="82">
        <v>2.72</v>
      </c>
      <c r="V218" s="58">
        <v>100008.96</v>
      </c>
      <c r="W218" s="85">
        <v>0.3263707571801567</v>
      </c>
      <c r="X218" s="58">
        <v>12000</v>
      </c>
      <c r="Y218" s="38"/>
      <c r="Z218" s="58">
        <v>0</v>
      </c>
      <c r="AA218" s="58"/>
      <c r="AB218" s="58"/>
      <c r="AC218" s="169">
        <v>6.49</v>
      </c>
      <c r="AD218" s="58">
        <v>238624.32</v>
      </c>
      <c r="AE218" s="84">
        <v>0</v>
      </c>
      <c r="AF218" s="12">
        <v>0</v>
      </c>
      <c r="AG218" s="84"/>
      <c r="AH218" s="64">
        <v>0</v>
      </c>
      <c r="AI218" s="82"/>
      <c r="AJ218" s="64">
        <v>0</v>
      </c>
      <c r="AK218" s="85">
        <v>0.902</v>
      </c>
      <c r="AL218" s="66">
        <v>33164.736000000004</v>
      </c>
      <c r="AM218" s="56">
        <v>2.662</v>
      </c>
      <c r="AN218" s="66">
        <v>97876.416</v>
      </c>
      <c r="AO218" s="17">
        <v>1.19</v>
      </c>
      <c r="AP218" s="74">
        <v>1.03</v>
      </c>
      <c r="AQ218" s="74">
        <v>0.16</v>
      </c>
      <c r="AR218" s="74">
        <v>43753.92</v>
      </c>
    </row>
    <row r="219" spans="1:44" ht="12.75">
      <c r="A219" s="6">
        <v>203</v>
      </c>
      <c r="B219" s="80">
        <v>25</v>
      </c>
      <c r="C219" s="81" t="s">
        <v>148</v>
      </c>
      <c r="D219" s="170">
        <v>3074.9</v>
      </c>
      <c r="E219" s="85">
        <v>0.003222023480439873</v>
      </c>
      <c r="F219" s="82">
        <v>17.59677797651956</v>
      </c>
      <c r="G219" s="82">
        <v>17.6</v>
      </c>
      <c r="H219" s="82">
        <v>649299.9912000002</v>
      </c>
      <c r="I219" s="112">
        <v>1.86</v>
      </c>
      <c r="J219" s="58">
        <v>68631.76800000001</v>
      </c>
      <c r="K219" s="82">
        <v>0.32</v>
      </c>
      <c r="L219" s="58">
        <v>11807.616000000002</v>
      </c>
      <c r="M219" s="43">
        <v>0.06</v>
      </c>
      <c r="N219" s="58">
        <v>2213.928</v>
      </c>
      <c r="O219" s="83">
        <v>0.05</v>
      </c>
      <c r="P219" s="58">
        <v>1844.94</v>
      </c>
      <c r="Q219" s="12">
        <v>0.93</v>
      </c>
      <c r="R219" s="58">
        <v>34315.884000000005</v>
      </c>
      <c r="S219" s="82">
        <v>0.09</v>
      </c>
      <c r="T219" s="58">
        <v>3320.892</v>
      </c>
      <c r="U219" s="82">
        <v>2.29</v>
      </c>
      <c r="V219" s="58">
        <v>84498.25200000001</v>
      </c>
      <c r="W219" s="85">
        <v>0.4227779765195616</v>
      </c>
      <c r="X219" s="58">
        <v>15600</v>
      </c>
      <c r="Y219" s="38"/>
      <c r="Z219" s="58">
        <v>0</v>
      </c>
      <c r="AA219" s="58"/>
      <c r="AB219" s="58"/>
      <c r="AC219" s="169">
        <v>6.82</v>
      </c>
      <c r="AD219" s="58">
        <v>251649.81600000005</v>
      </c>
      <c r="AE219" s="84">
        <v>0</v>
      </c>
      <c r="AF219" s="12">
        <v>0</v>
      </c>
      <c r="AG219" s="84"/>
      <c r="AH219" s="64">
        <v>0</v>
      </c>
      <c r="AI219" s="82"/>
      <c r="AJ219" s="64">
        <v>0</v>
      </c>
      <c r="AK219" s="85">
        <v>0.902</v>
      </c>
      <c r="AL219" s="66">
        <v>33282.7176</v>
      </c>
      <c r="AM219" s="56">
        <v>2.662</v>
      </c>
      <c r="AN219" s="66">
        <v>98224.6056</v>
      </c>
      <c r="AO219" s="17">
        <v>1.19</v>
      </c>
      <c r="AP219" s="74">
        <v>1.03</v>
      </c>
      <c r="AQ219" s="74">
        <v>0.16</v>
      </c>
      <c r="AR219" s="74">
        <v>43909.572</v>
      </c>
    </row>
    <row r="220" spans="1:44" ht="12.75">
      <c r="A220" s="6">
        <v>204</v>
      </c>
      <c r="B220" s="80">
        <v>26</v>
      </c>
      <c r="C220" s="81" t="s">
        <v>149</v>
      </c>
      <c r="D220" s="12">
        <v>3452.5</v>
      </c>
      <c r="E220" s="85">
        <v>-0.003645184648803479</v>
      </c>
      <c r="F220" s="82">
        <v>17.603645184648805</v>
      </c>
      <c r="G220" s="82">
        <v>17.6</v>
      </c>
      <c r="H220" s="82">
        <v>729319.02</v>
      </c>
      <c r="I220" s="112">
        <v>1.86</v>
      </c>
      <c r="J220" s="58">
        <v>77059.8</v>
      </c>
      <c r="K220" s="82">
        <v>0.32</v>
      </c>
      <c r="L220" s="58">
        <v>13257.6</v>
      </c>
      <c r="M220" s="12">
        <v>0.06</v>
      </c>
      <c r="N220" s="58">
        <v>2485.8</v>
      </c>
      <c r="O220" s="82">
        <v>0.05</v>
      </c>
      <c r="P220" s="58">
        <v>2071.5</v>
      </c>
      <c r="Q220" s="12">
        <v>0.93</v>
      </c>
      <c r="R220" s="58">
        <v>38529.9</v>
      </c>
      <c r="S220" s="82">
        <v>0.09</v>
      </c>
      <c r="T220" s="58">
        <v>3728.7</v>
      </c>
      <c r="U220" s="82">
        <v>2.79</v>
      </c>
      <c r="V220" s="58">
        <v>115589.7</v>
      </c>
      <c r="W220" s="85">
        <v>0.28964518464880523</v>
      </c>
      <c r="X220" s="58">
        <v>12000</v>
      </c>
      <c r="Y220" s="38"/>
      <c r="Z220" s="58">
        <v>0</v>
      </c>
      <c r="AA220" s="58"/>
      <c r="AB220" s="58"/>
      <c r="AC220" s="169">
        <v>6.46</v>
      </c>
      <c r="AD220" s="58">
        <v>267637.8</v>
      </c>
      <c r="AE220" s="58">
        <v>0</v>
      </c>
      <c r="AF220" s="12">
        <v>0</v>
      </c>
      <c r="AG220" s="58"/>
      <c r="AH220" s="64">
        <v>0</v>
      </c>
      <c r="AI220" s="82"/>
      <c r="AJ220" s="64">
        <v>0</v>
      </c>
      <c r="AK220" s="85">
        <v>0.902</v>
      </c>
      <c r="AL220" s="66">
        <v>37369.86</v>
      </c>
      <c r="AM220" s="56">
        <v>2.662</v>
      </c>
      <c r="AN220" s="66">
        <v>110286.66</v>
      </c>
      <c r="AO220" s="17">
        <v>1.19</v>
      </c>
      <c r="AP220" s="74">
        <v>1.03</v>
      </c>
      <c r="AQ220" s="74">
        <v>0.16</v>
      </c>
      <c r="AR220" s="74">
        <v>49301.7</v>
      </c>
    </row>
    <row r="221" spans="1:44" ht="12.75">
      <c r="A221" s="6">
        <v>205</v>
      </c>
      <c r="B221" s="80">
        <v>27</v>
      </c>
      <c r="C221" s="81" t="s">
        <v>150</v>
      </c>
      <c r="D221" s="170">
        <v>2191.5</v>
      </c>
      <c r="E221" s="85">
        <v>-0.0003084645220141624</v>
      </c>
      <c r="F221" s="82">
        <v>17.600308464522016</v>
      </c>
      <c r="G221" s="82">
        <v>17.6</v>
      </c>
      <c r="H221" s="82">
        <v>462852.91199999995</v>
      </c>
      <c r="I221" s="112">
        <v>1.86</v>
      </c>
      <c r="J221" s="58">
        <v>48914.28</v>
      </c>
      <c r="K221" s="82">
        <v>0.32</v>
      </c>
      <c r="L221" s="58">
        <v>8415.36</v>
      </c>
      <c r="M221" s="43">
        <v>0.06</v>
      </c>
      <c r="N221" s="58">
        <v>1577.88</v>
      </c>
      <c r="O221" s="83">
        <v>0.05</v>
      </c>
      <c r="P221" s="58">
        <v>1314.9</v>
      </c>
      <c r="Q221" s="12">
        <v>0.93</v>
      </c>
      <c r="R221" s="58">
        <v>24457.14</v>
      </c>
      <c r="S221" s="82">
        <v>0.09</v>
      </c>
      <c r="T221" s="58">
        <v>2366.82</v>
      </c>
      <c r="U221" s="82">
        <v>2.79</v>
      </c>
      <c r="V221" s="58">
        <v>73371.42</v>
      </c>
      <c r="W221" s="85">
        <v>0.45630846452201684</v>
      </c>
      <c r="X221" s="58">
        <v>12000</v>
      </c>
      <c r="Y221" s="38"/>
      <c r="Z221" s="58">
        <v>0</v>
      </c>
      <c r="AA221" s="58"/>
      <c r="AB221" s="58"/>
      <c r="AC221" s="169">
        <v>6.29</v>
      </c>
      <c r="AD221" s="58">
        <v>165414.42</v>
      </c>
      <c r="AE221" s="84">
        <v>0</v>
      </c>
      <c r="AF221" s="12">
        <v>0</v>
      </c>
      <c r="AG221" s="84"/>
      <c r="AH221" s="64">
        <v>0</v>
      </c>
      <c r="AI221" s="82"/>
      <c r="AJ221" s="64">
        <v>0</v>
      </c>
      <c r="AK221" s="85">
        <v>0.902</v>
      </c>
      <c r="AL221" s="66">
        <v>23720.796</v>
      </c>
      <c r="AM221" s="56">
        <v>2.662</v>
      </c>
      <c r="AN221" s="66">
        <v>70005.276</v>
      </c>
      <c r="AO221" s="17">
        <v>1.19</v>
      </c>
      <c r="AP221" s="74">
        <v>1.03</v>
      </c>
      <c r="AQ221" s="74">
        <v>0.16</v>
      </c>
      <c r="AR221" s="74">
        <v>31294.62</v>
      </c>
    </row>
    <row r="222" spans="1:44" ht="12.75">
      <c r="A222" s="6">
        <v>206</v>
      </c>
      <c r="B222" s="80">
        <v>28</v>
      </c>
      <c r="C222" s="81" t="s">
        <v>151</v>
      </c>
      <c r="D222" s="43">
        <v>1996.8</v>
      </c>
      <c r="E222" s="85">
        <v>-0.004801282051282385</v>
      </c>
      <c r="F222" s="82">
        <v>17.604801282051284</v>
      </c>
      <c r="G222" s="82">
        <v>17.6</v>
      </c>
      <c r="H222" s="82">
        <v>421839.2064</v>
      </c>
      <c r="I222" s="112">
        <v>1.86</v>
      </c>
      <c r="J222" s="58">
        <v>44568.576</v>
      </c>
      <c r="K222" s="82">
        <v>0.32</v>
      </c>
      <c r="L222" s="58">
        <v>7667.7119999999995</v>
      </c>
      <c r="M222" s="43">
        <v>0.06</v>
      </c>
      <c r="N222" s="58">
        <v>1437.696</v>
      </c>
      <c r="O222" s="83">
        <v>0.05</v>
      </c>
      <c r="P222" s="58">
        <v>1198.08</v>
      </c>
      <c r="Q222" s="12">
        <v>0.93</v>
      </c>
      <c r="R222" s="58">
        <v>22284.288</v>
      </c>
      <c r="S222" s="82">
        <v>0.09</v>
      </c>
      <c r="T222" s="58">
        <v>2156.544</v>
      </c>
      <c r="U222" s="82">
        <v>2.79</v>
      </c>
      <c r="V222" s="58">
        <v>66852.86399999999</v>
      </c>
      <c r="W222" s="85">
        <v>0.500801282051282</v>
      </c>
      <c r="X222" s="58">
        <v>12000</v>
      </c>
      <c r="Y222" s="38"/>
      <c r="Z222" s="58">
        <v>0</v>
      </c>
      <c r="AA222" s="58"/>
      <c r="AB222" s="58"/>
      <c r="AC222" s="169">
        <v>6.25</v>
      </c>
      <c r="AD222" s="58">
        <v>149760</v>
      </c>
      <c r="AE222" s="84">
        <v>0</v>
      </c>
      <c r="AF222" s="12">
        <v>0</v>
      </c>
      <c r="AG222" s="84"/>
      <c r="AH222" s="64">
        <v>0</v>
      </c>
      <c r="AI222" s="82"/>
      <c r="AJ222" s="64">
        <v>0</v>
      </c>
      <c r="AK222" s="85">
        <v>0.902</v>
      </c>
      <c r="AL222" s="66">
        <v>21613.3632</v>
      </c>
      <c r="AM222" s="56">
        <v>2.662</v>
      </c>
      <c r="AN222" s="66">
        <v>63785.779200000004</v>
      </c>
      <c r="AO222" s="17">
        <v>1.19</v>
      </c>
      <c r="AP222" s="74">
        <v>1.03</v>
      </c>
      <c r="AQ222" s="74">
        <v>0.16</v>
      </c>
      <c r="AR222" s="74">
        <v>28514.304</v>
      </c>
    </row>
    <row r="223" spans="1:44" ht="12.75">
      <c r="A223" s="6">
        <v>207</v>
      </c>
      <c r="B223" s="80">
        <v>29</v>
      </c>
      <c r="C223" s="81" t="s">
        <v>152</v>
      </c>
      <c r="D223" s="43">
        <v>3092.5</v>
      </c>
      <c r="E223" s="85">
        <v>0.0026370250606326806</v>
      </c>
      <c r="F223" s="82">
        <v>17.59736297493937</v>
      </c>
      <c r="G223" s="82">
        <v>17.6</v>
      </c>
      <c r="H223" s="82">
        <v>653038.14</v>
      </c>
      <c r="I223" s="112">
        <v>1.86</v>
      </c>
      <c r="J223" s="58">
        <v>69024.6</v>
      </c>
      <c r="K223" s="82">
        <v>0.32</v>
      </c>
      <c r="L223" s="58">
        <v>11875.2</v>
      </c>
      <c r="M223" s="43">
        <v>0.06</v>
      </c>
      <c r="N223" s="58">
        <v>2226.6</v>
      </c>
      <c r="O223" s="83"/>
      <c r="P223" s="58">
        <v>0</v>
      </c>
      <c r="Q223" s="12">
        <v>0.93</v>
      </c>
      <c r="R223" s="58">
        <v>34512.3</v>
      </c>
      <c r="S223" s="82">
        <v>0.09</v>
      </c>
      <c r="T223" s="58">
        <v>3339.9</v>
      </c>
      <c r="U223" s="82">
        <v>2.74</v>
      </c>
      <c r="V223" s="58">
        <v>101681.4</v>
      </c>
      <c r="W223" s="85">
        <v>0.32336297493936944</v>
      </c>
      <c r="X223" s="58">
        <v>12000</v>
      </c>
      <c r="Y223" s="38"/>
      <c r="Z223" s="58">
        <v>0</v>
      </c>
      <c r="AA223" s="58"/>
      <c r="AB223" s="58"/>
      <c r="AC223" s="169">
        <v>6.52</v>
      </c>
      <c r="AD223" s="58">
        <v>241957.2</v>
      </c>
      <c r="AE223" s="84">
        <v>0</v>
      </c>
      <c r="AF223" s="12">
        <v>0</v>
      </c>
      <c r="AG223" s="84"/>
      <c r="AH223" s="64">
        <v>0</v>
      </c>
      <c r="AI223" s="82"/>
      <c r="AJ223" s="64">
        <v>0</v>
      </c>
      <c r="AK223" s="85">
        <v>0.902</v>
      </c>
      <c r="AL223" s="66">
        <v>33473.22</v>
      </c>
      <c r="AM223" s="56">
        <v>2.662</v>
      </c>
      <c r="AN223" s="66">
        <v>98786.82</v>
      </c>
      <c r="AO223" s="17">
        <v>1.19</v>
      </c>
      <c r="AP223" s="74">
        <v>1.03</v>
      </c>
      <c r="AQ223" s="74">
        <v>0.16</v>
      </c>
      <c r="AR223" s="74">
        <v>44160.9</v>
      </c>
    </row>
    <row r="224" spans="1:44" ht="12.75">
      <c r="A224" s="6">
        <v>208</v>
      </c>
      <c r="B224" s="80">
        <v>30</v>
      </c>
      <c r="C224" s="81" t="s">
        <v>153</v>
      </c>
      <c r="D224" s="43">
        <v>1993.3</v>
      </c>
      <c r="E224" s="85">
        <v>0.004319369889131508</v>
      </c>
      <c r="F224" s="82">
        <v>17.59568063011087</v>
      </c>
      <c r="G224" s="82">
        <v>17.6</v>
      </c>
      <c r="H224" s="82">
        <v>420881.64239999995</v>
      </c>
      <c r="I224" s="112">
        <v>1.86</v>
      </c>
      <c r="J224" s="58">
        <v>44490.456</v>
      </c>
      <c r="K224" s="82">
        <v>0.32</v>
      </c>
      <c r="L224" s="58">
        <v>7654.272</v>
      </c>
      <c r="M224" s="43">
        <v>0.06</v>
      </c>
      <c r="N224" s="58">
        <v>1435.176</v>
      </c>
      <c r="O224" s="83"/>
      <c r="P224" s="58">
        <v>0</v>
      </c>
      <c r="Q224" s="12">
        <v>0.93</v>
      </c>
      <c r="R224" s="58">
        <v>22245.228</v>
      </c>
      <c r="S224" s="82">
        <v>0.09</v>
      </c>
      <c r="T224" s="58">
        <v>2152.764</v>
      </c>
      <c r="U224" s="82">
        <v>3.34</v>
      </c>
      <c r="V224" s="58">
        <v>79891.46399999998</v>
      </c>
      <c r="W224" s="85">
        <v>0.5016806301108715</v>
      </c>
      <c r="X224" s="58">
        <v>12000</v>
      </c>
      <c r="Y224" s="38"/>
      <c r="Z224" s="58">
        <v>0</v>
      </c>
      <c r="AA224" s="58"/>
      <c r="AB224" s="58"/>
      <c r="AC224" s="169">
        <v>5.74</v>
      </c>
      <c r="AD224" s="58">
        <v>137298.50399999996</v>
      </c>
      <c r="AE224" s="84">
        <v>0</v>
      </c>
      <c r="AF224" s="12">
        <v>0</v>
      </c>
      <c r="AG224" s="84"/>
      <c r="AH224" s="64">
        <v>0</v>
      </c>
      <c r="AI224" s="82"/>
      <c r="AJ224" s="64">
        <v>0</v>
      </c>
      <c r="AK224" s="85">
        <v>0.902</v>
      </c>
      <c r="AL224" s="66">
        <v>21575.4792</v>
      </c>
      <c r="AM224" s="56">
        <v>2.662</v>
      </c>
      <c r="AN224" s="66">
        <v>63673.9752</v>
      </c>
      <c r="AO224" s="17">
        <v>1.19</v>
      </c>
      <c r="AP224" s="74">
        <v>1.03</v>
      </c>
      <c r="AQ224" s="74">
        <v>0.16</v>
      </c>
      <c r="AR224" s="74">
        <v>28464.324</v>
      </c>
    </row>
    <row r="225" spans="1:44" ht="12.75">
      <c r="A225" s="6">
        <v>209</v>
      </c>
      <c r="B225" s="80">
        <v>31</v>
      </c>
      <c r="C225" s="81" t="s">
        <v>154</v>
      </c>
      <c r="D225" s="43">
        <v>5294.7</v>
      </c>
      <c r="E225" s="85">
        <v>0.0004714525846587492</v>
      </c>
      <c r="F225" s="82">
        <v>17.599528547415343</v>
      </c>
      <c r="G225" s="82">
        <v>17.6</v>
      </c>
      <c r="H225" s="82">
        <v>1118210.6856</v>
      </c>
      <c r="I225" s="112">
        <v>1.86</v>
      </c>
      <c r="J225" s="58">
        <v>118177.704</v>
      </c>
      <c r="K225" s="82">
        <v>0.32</v>
      </c>
      <c r="L225" s="58">
        <v>20331.648</v>
      </c>
      <c r="M225" s="43">
        <v>0.06</v>
      </c>
      <c r="N225" s="58">
        <v>3812.1839999999993</v>
      </c>
      <c r="O225" s="83"/>
      <c r="P225" s="58">
        <v>0</v>
      </c>
      <c r="Q225" s="12">
        <v>0.93</v>
      </c>
      <c r="R225" s="58">
        <v>59088.852</v>
      </c>
      <c r="S225" s="82">
        <v>0.09</v>
      </c>
      <c r="T225" s="58">
        <v>5718.276</v>
      </c>
      <c r="U225" s="82">
        <v>3.34</v>
      </c>
      <c r="V225" s="58">
        <v>212211.57599999994</v>
      </c>
      <c r="W225" s="85">
        <v>0.2455285474153399</v>
      </c>
      <c r="X225" s="58">
        <v>15600</v>
      </c>
      <c r="Y225" s="38"/>
      <c r="Z225" s="58">
        <v>0</v>
      </c>
      <c r="AA225" s="58"/>
      <c r="AB225" s="58"/>
      <c r="AC225" s="169">
        <v>6</v>
      </c>
      <c r="AD225" s="58">
        <v>381218.4</v>
      </c>
      <c r="AE225" s="84">
        <v>0</v>
      </c>
      <c r="AF225" s="12">
        <v>0</v>
      </c>
      <c r="AG225" s="84"/>
      <c r="AH225" s="64">
        <v>0</v>
      </c>
      <c r="AI225" s="82"/>
      <c r="AJ225" s="64">
        <v>0</v>
      </c>
      <c r="AK225" s="85">
        <v>0.902</v>
      </c>
      <c r="AL225" s="66">
        <v>57309.832800000004</v>
      </c>
      <c r="AM225" s="56">
        <v>2.662</v>
      </c>
      <c r="AN225" s="66">
        <v>169133.8968</v>
      </c>
      <c r="AO225" s="17">
        <v>1.19</v>
      </c>
      <c r="AP225" s="74">
        <v>1.03</v>
      </c>
      <c r="AQ225" s="74">
        <v>0.16</v>
      </c>
      <c r="AR225" s="74">
        <v>75608.31599999999</v>
      </c>
    </row>
    <row r="226" spans="1:44" ht="12.75">
      <c r="A226" s="6">
        <v>210</v>
      </c>
      <c r="B226" s="80">
        <v>32</v>
      </c>
      <c r="C226" s="81" t="s">
        <v>188</v>
      </c>
      <c r="D226" s="12">
        <v>1675.2</v>
      </c>
      <c r="E226" s="85">
        <v>-0.003083094555876187</v>
      </c>
      <c r="F226" s="82">
        <v>17.603083094555878</v>
      </c>
      <c r="G226" s="82">
        <v>17.6</v>
      </c>
      <c r="H226" s="82">
        <v>353864.2176000001</v>
      </c>
      <c r="I226" s="112">
        <v>1.86</v>
      </c>
      <c r="J226" s="58">
        <v>37390.46400000001</v>
      </c>
      <c r="K226" s="82">
        <v>0.32</v>
      </c>
      <c r="L226" s="58">
        <v>6432.768000000001</v>
      </c>
      <c r="M226" s="12">
        <v>0.06</v>
      </c>
      <c r="N226" s="58">
        <v>1206.144</v>
      </c>
      <c r="O226" s="82"/>
      <c r="P226" s="58">
        <v>0</v>
      </c>
      <c r="Q226" s="12">
        <v>0.93</v>
      </c>
      <c r="R226" s="58">
        <v>18695.232000000004</v>
      </c>
      <c r="S226" s="82">
        <v>0.09</v>
      </c>
      <c r="T226" s="58">
        <v>1809.216</v>
      </c>
      <c r="U226" s="82">
        <v>3.01</v>
      </c>
      <c r="V226" s="58">
        <v>60508.22400000001</v>
      </c>
      <c r="W226" s="85">
        <v>0.17908309455587393</v>
      </c>
      <c r="X226" s="58">
        <v>3600</v>
      </c>
      <c r="Y226" s="38"/>
      <c r="Z226" s="58">
        <v>0</v>
      </c>
      <c r="AA226" s="58"/>
      <c r="AB226" s="58"/>
      <c r="AC226" s="169">
        <v>6.4</v>
      </c>
      <c r="AD226" s="58">
        <v>128655.36</v>
      </c>
      <c r="AE226" s="58">
        <v>0</v>
      </c>
      <c r="AF226" s="12">
        <v>0</v>
      </c>
      <c r="AG226" s="58"/>
      <c r="AH226" s="64">
        <v>0</v>
      </c>
      <c r="AI226" s="82"/>
      <c r="AJ226" s="64">
        <v>0</v>
      </c>
      <c r="AK226" s="85">
        <v>0.902</v>
      </c>
      <c r="AL226" s="66">
        <v>18132.364800000003</v>
      </c>
      <c r="AM226" s="56">
        <v>2.662</v>
      </c>
      <c r="AN226" s="66">
        <v>53512.588800000005</v>
      </c>
      <c r="AO226" s="17">
        <v>1.19</v>
      </c>
      <c r="AP226" s="74">
        <v>1.03</v>
      </c>
      <c r="AQ226" s="74">
        <v>0.16</v>
      </c>
      <c r="AR226" s="74">
        <v>23921.856</v>
      </c>
    </row>
    <row r="227" spans="1:44" ht="12.75">
      <c r="A227" s="6">
        <v>211</v>
      </c>
      <c r="B227" s="80">
        <v>33</v>
      </c>
      <c r="C227" s="81" t="s">
        <v>225</v>
      </c>
      <c r="D227" s="12">
        <v>836.7</v>
      </c>
      <c r="E227" s="85">
        <v>-0.0013786303334537564</v>
      </c>
      <c r="F227" s="82">
        <v>11.351378630333453</v>
      </c>
      <c r="G227" s="82">
        <v>11.35</v>
      </c>
      <c r="H227" s="82">
        <v>113972.38200000001</v>
      </c>
      <c r="I227" s="5">
        <v>1.77</v>
      </c>
      <c r="J227" s="58">
        <v>17771.508</v>
      </c>
      <c r="K227" s="82">
        <v>0.29</v>
      </c>
      <c r="L227" s="58">
        <v>2911.716</v>
      </c>
      <c r="M227" s="82">
        <v>0</v>
      </c>
      <c r="N227" s="58">
        <v>0</v>
      </c>
      <c r="O227" s="82"/>
      <c r="P227" s="58">
        <v>0</v>
      </c>
      <c r="Q227" s="12">
        <v>0.84</v>
      </c>
      <c r="R227" s="58">
        <v>8433.936</v>
      </c>
      <c r="S227" s="82">
        <v>0.08</v>
      </c>
      <c r="T227" s="58">
        <v>803.2320000000001</v>
      </c>
      <c r="U227" s="82">
        <v>2.19</v>
      </c>
      <c r="V227" s="58">
        <v>21988.476000000002</v>
      </c>
      <c r="W227" s="85">
        <v>0.8963786303334528</v>
      </c>
      <c r="X227" s="58">
        <v>9000</v>
      </c>
      <c r="Y227" s="38">
        <v>0.85</v>
      </c>
      <c r="Z227" s="58">
        <v>8534.34</v>
      </c>
      <c r="AA227" s="58"/>
      <c r="AB227" s="58"/>
      <c r="AC227" s="169">
        <v>0</v>
      </c>
      <c r="AD227" s="58">
        <v>0</v>
      </c>
      <c r="AE227" s="58">
        <v>0</v>
      </c>
      <c r="AF227" s="12">
        <v>0</v>
      </c>
      <c r="AG227" s="58"/>
      <c r="AH227" s="64">
        <v>0</v>
      </c>
      <c r="AI227" s="82"/>
      <c r="AJ227" s="64">
        <v>0</v>
      </c>
      <c r="AK227" s="82">
        <v>0.66</v>
      </c>
      <c r="AL227" s="66">
        <v>6626.664000000001</v>
      </c>
      <c r="AM227" s="82">
        <v>2.585</v>
      </c>
      <c r="AN227" s="66">
        <v>25954.434</v>
      </c>
      <c r="AO227" s="17">
        <v>1.19</v>
      </c>
      <c r="AP227" s="74">
        <v>1.03</v>
      </c>
      <c r="AQ227" s="74">
        <v>0.16</v>
      </c>
      <c r="AR227" s="74">
        <v>11948.076000000001</v>
      </c>
    </row>
    <row r="228" spans="1:44" ht="12.75">
      <c r="A228" s="6">
        <v>212</v>
      </c>
      <c r="B228" s="80">
        <v>34</v>
      </c>
      <c r="C228" s="81" t="s">
        <v>237</v>
      </c>
      <c r="D228" s="12">
        <v>839.4</v>
      </c>
      <c r="E228" s="85">
        <v>-0.003495353824160219</v>
      </c>
      <c r="F228" s="82">
        <v>11.35349535382416</v>
      </c>
      <c r="G228" s="82">
        <v>11.35</v>
      </c>
      <c r="H228" s="82">
        <v>114361.488</v>
      </c>
      <c r="I228" s="5">
        <v>1.77</v>
      </c>
      <c r="J228" s="58">
        <v>17828.856</v>
      </c>
      <c r="K228" s="82">
        <v>0.19</v>
      </c>
      <c r="L228" s="58">
        <v>1913.8319999999999</v>
      </c>
      <c r="M228" s="12"/>
      <c r="N228" s="58">
        <v>0</v>
      </c>
      <c r="O228" s="82"/>
      <c r="P228" s="58">
        <v>0</v>
      </c>
      <c r="Q228" s="12">
        <v>0.8</v>
      </c>
      <c r="R228" s="58">
        <v>8058.24</v>
      </c>
      <c r="S228" s="82">
        <v>0.08</v>
      </c>
      <c r="T228" s="58">
        <v>805.8240000000001</v>
      </c>
      <c r="U228" s="82">
        <v>2.28</v>
      </c>
      <c r="V228" s="58">
        <v>22965.983999999997</v>
      </c>
      <c r="W228" s="85">
        <v>0.8934953538241602</v>
      </c>
      <c r="X228" s="58">
        <v>9000</v>
      </c>
      <c r="Y228" s="38">
        <v>0.85</v>
      </c>
      <c r="Z228" s="58">
        <v>8561.88</v>
      </c>
      <c r="AA228" s="58"/>
      <c r="AB228" s="58"/>
      <c r="AC228" s="169">
        <v>0</v>
      </c>
      <c r="AD228" s="58">
        <v>0</v>
      </c>
      <c r="AE228" s="58"/>
      <c r="AF228" s="12">
        <v>0</v>
      </c>
      <c r="AG228" s="58"/>
      <c r="AH228" s="64">
        <v>0</v>
      </c>
      <c r="AI228" s="82"/>
      <c r="AJ228" s="64">
        <v>0</v>
      </c>
      <c r="AK228" s="82">
        <v>0.66</v>
      </c>
      <c r="AL228" s="66">
        <v>6648.048000000001</v>
      </c>
      <c r="AM228" s="82">
        <v>2.64</v>
      </c>
      <c r="AN228" s="66">
        <v>26592.192000000003</v>
      </c>
      <c r="AO228" s="17">
        <v>1.19</v>
      </c>
      <c r="AP228" s="74">
        <v>1.03</v>
      </c>
      <c r="AQ228" s="74">
        <v>0.16</v>
      </c>
      <c r="AR228" s="74">
        <v>11986.632</v>
      </c>
    </row>
    <row r="229" spans="1:44" ht="12.75">
      <c r="A229" s="6">
        <v>213</v>
      </c>
      <c r="B229" s="80">
        <v>35</v>
      </c>
      <c r="C229" s="81" t="s">
        <v>189</v>
      </c>
      <c r="D229" s="43">
        <v>1650.9</v>
      </c>
      <c r="E229" s="85">
        <v>0.004280937670362306</v>
      </c>
      <c r="F229" s="82">
        <v>17.59571906232964</v>
      </c>
      <c r="G229" s="82">
        <v>17.6</v>
      </c>
      <c r="H229" s="82">
        <v>348585.2712000001</v>
      </c>
      <c r="I229" s="112">
        <v>1.86</v>
      </c>
      <c r="J229" s="58">
        <v>36848.088</v>
      </c>
      <c r="K229" s="82">
        <v>0.32</v>
      </c>
      <c r="L229" s="58">
        <v>6339.456</v>
      </c>
      <c r="M229" s="43">
        <v>0.06</v>
      </c>
      <c r="N229" s="58">
        <v>1188.6480000000001</v>
      </c>
      <c r="O229" s="83"/>
      <c r="P229" s="58">
        <v>0</v>
      </c>
      <c r="Q229" s="12">
        <v>0.93</v>
      </c>
      <c r="R229" s="58">
        <v>18424.044</v>
      </c>
      <c r="S229" s="82">
        <v>0.09</v>
      </c>
      <c r="T229" s="58">
        <v>1782.9719999999998</v>
      </c>
      <c r="U229" s="82">
        <v>3.01</v>
      </c>
      <c r="V229" s="58">
        <v>59630.50800000001</v>
      </c>
      <c r="W229" s="85">
        <v>0.1817190623296384</v>
      </c>
      <c r="X229" s="58">
        <v>3600</v>
      </c>
      <c r="Y229" s="38"/>
      <c r="Z229" s="58">
        <v>0</v>
      </c>
      <c r="AA229" s="58"/>
      <c r="AB229" s="58"/>
      <c r="AC229" s="169">
        <v>6.39</v>
      </c>
      <c r="AD229" s="58">
        <v>126591.01200000002</v>
      </c>
      <c r="AE229" s="84">
        <v>0</v>
      </c>
      <c r="AF229" s="12">
        <v>0</v>
      </c>
      <c r="AG229" s="84"/>
      <c r="AH229" s="64">
        <v>0</v>
      </c>
      <c r="AI229" s="82"/>
      <c r="AJ229" s="64">
        <v>0</v>
      </c>
      <c r="AK229" s="85">
        <v>0.902</v>
      </c>
      <c r="AL229" s="66">
        <v>17869.3416</v>
      </c>
      <c r="AM229" s="82">
        <v>2.662</v>
      </c>
      <c r="AN229" s="66">
        <v>52736.3496</v>
      </c>
      <c r="AO229" s="17">
        <v>1.19</v>
      </c>
      <c r="AP229" s="74">
        <v>1.03</v>
      </c>
      <c r="AQ229" s="74">
        <v>0.16</v>
      </c>
      <c r="AR229" s="74">
        <v>23574.852</v>
      </c>
    </row>
    <row r="230" spans="1:44" ht="12.75">
      <c r="A230" s="6">
        <v>214</v>
      </c>
      <c r="B230" s="80">
        <v>36</v>
      </c>
      <c r="C230" s="81" t="s">
        <v>155</v>
      </c>
      <c r="D230" s="43">
        <v>2524.9</v>
      </c>
      <c r="E230" s="85">
        <v>0.0011281238860973986</v>
      </c>
      <c r="F230" s="82">
        <v>17.598871876113904</v>
      </c>
      <c r="G230" s="82">
        <v>17.6</v>
      </c>
      <c r="H230" s="82">
        <v>533224.6992</v>
      </c>
      <c r="I230" s="112">
        <v>1.86</v>
      </c>
      <c r="J230" s="58">
        <v>56355.768000000004</v>
      </c>
      <c r="K230" s="82">
        <v>0.32</v>
      </c>
      <c r="L230" s="58">
        <v>9695.616000000002</v>
      </c>
      <c r="M230" s="43">
        <v>0.06</v>
      </c>
      <c r="N230" s="58">
        <v>1817.9279999999999</v>
      </c>
      <c r="O230" s="83"/>
      <c r="P230" s="58">
        <v>0</v>
      </c>
      <c r="Q230" s="12">
        <v>0.93</v>
      </c>
      <c r="R230" s="58">
        <v>28177.884000000002</v>
      </c>
      <c r="S230" s="82">
        <v>0.09</v>
      </c>
      <c r="T230" s="58">
        <v>2726.8920000000003</v>
      </c>
      <c r="U230" s="82">
        <v>2.84</v>
      </c>
      <c r="V230" s="58">
        <v>86048.592</v>
      </c>
      <c r="W230" s="85">
        <v>0.5148718761139055</v>
      </c>
      <c r="X230" s="58">
        <v>15600</v>
      </c>
      <c r="Y230" s="38"/>
      <c r="Z230" s="58">
        <v>0</v>
      </c>
      <c r="AA230" s="58"/>
      <c r="AB230" s="58"/>
      <c r="AC230" s="169">
        <v>6.23</v>
      </c>
      <c r="AD230" s="58">
        <v>188761.52399999998</v>
      </c>
      <c r="AE230" s="84">
        <v>0</v>
      </c>
      <c r="AF230" s="12">
        <v>0</v>
      </c>
      <c r="AG230" s="84"/>
      <c r="AH230" s="64">
        <v>0</v>
      </c>
      <c r="AI230" s="82"/>
      <c r="AJ230" s="64">
        <v>0</v>
      </c>
      <c r="AK230" s="85">
        <v>0.902</v>
      </c>
      <c r="AL230" s="66">
        <v>27329.5176</v>
      </c>
      <c r="AM230" s="82">
        <v>2.662</v>
      </c>
      <c r="AN230" s="66">
        <v>80655.4056</v>
      </c>
      <c r="AO230" s="17">
        <v>1.19</v>
      </c>
      <c r="AP230" s="74">
        <v>1.03</v>
      </c>
      <c r="AQ230" s="74">
        <v>0.16</v>
      </c>
      <c r="AR230" s="74">
        <v>36055.572</v>
      </c>
    </row>
    <row r="231" spans="1:44" ht="12.75">
      <c r="A231" s="6">
        <v>215</v>
      </c>
      <c r="B231" s="80">
        <v>37</v>
      </c>
      <c r="C231" s="81" t="s">
        <v>156</v>
      </c>
      <c r="D231" s="43">
        <v>3143.5</v>
      </c>
      <c r="E231" s="85">
        <v>-0.002116748846827221</v>
      </c>
      <c r="F231" s="82">
        <v>17.60211674884683</v>
      </c>
      <c r="G231" s="82">
        <v>17.6</v>
      </c>
      <c r="H231" s="82">
        <v>663987.048</v>
      </c>
      <c r="I231" s="112">
        <v>1.86</v>
      </c>
      <c r="J231" s="58">
        <v>70162.92</v>
      </c>
      <c r="K231" s="82">
        <v>0.32</v>
      </c>
      <c r="L231" s="58">
        <v>12071.04</v>
      </c>
      <c r="M231" s="43">
        <v>0.06</v>
      </c>
      <c r="N231" s="58">
        <v>2263.32</v>
      </c>
      <c r="O231" s="83">
        <v>0.05</v>
      </c>
      <c r="P231" s="58">
        <v>1886.1</v>
      </c>
      <c r="Q231" s="12">
        <v>0.93</v>
      </c>
      <c r="R231" s="58">
        <v>35081.46</v>
      </c>
      <c r="S231" s="82">
        <v>0.09</v>
      </c>
      <c r="T231" s="58">
        <v>3394.98</v>
      </c>
      <c r="U231" s="82">
        <v>2.79</v>
      </c>
      <c r="V231" s="58">
        <v>105244.38</v>
      </c>
      <c r="W231" s="85">
        <v>0.3181167488468268</v>
      </c>
      <c r="X231" s="58">
        <v>12000</v>
      </c>
      <c r="Y231" s="38"/>
      <c r="Z231" s="58">
        <v>0</v>
      </c>
      <c r="AA231" s="58"/>
      <c r="AB231" s="58"/>
      <c r="AC231" s="169">
        <v>6.43</v>
      </c>
      <c r="AD231" s="58">
        <v>242552.46</v>
      </c>
      <c r="AE231" s="84">
        <v>0</v>
      </c>
      <c r="AF231" s="12">
        <v>0</v>
      </c>
      <c r="AG231" s="84"/>
      <c r="AH231" s="64">
        <v>0</v>
      </c>
      <c r="AI231" s="82"/>
      <c r="AJ231" s="64">
        <v>0</v>
      </c>
      <c r="AK231" s="85">
        <v>0.902</v>
      </c>
      <c r="AL231" s="66">
        <v>34025.244</v>
      </c>
      <c r="AM231" s="82">
        <v>2.662</v>
      </c>
      <c r="AN231" s="66">
        <v>100415.96399999999</v>
      </c>
      <c r="AO231" s="17">
        <v>1.19</v>
      </c>
      <c r="AP231" s="74">
        <v>1.03</v>
      </c>
      <c r="AQ231" s="74">
        <v>0.16</v>
      </c>
      <c r="AR231" s="74">
        <v>44889.18</v>
      </c>
    </row>
    <row r="232" spans="1:44" ht="12.75">
      <c r="A232" s="6">
        <v>216</v>
      </c>
      <c r="B232" s="80">
        <v>38</v>
      </c>
      <c r="C232" s="81" t="s">
        <v>157</v>
      </c>
      <c r="D232" s="43">
        <v>2051.6</v>
      </c>
      <c r="E232" s="85">
        <v>-0.0014244492103685502</v>
      </c>
      <c r="F232" s="82">
        <v>17.60142444921037</v>
      </c>
      <c r="G232" s="82">
        <v>17.6</v>
      </c>
      <c r="H232" s="82">
        <v>433332.9888</v>
      </c>
      <c r="I232" s="112">
        <v>1.86</v>
      </c>
      <c r="J232" s="58">
        <v>45791.712</v>
      </c>
      <c r="K232" s="82">
        <v>0.32</v>
      </c>
      <c r="L232" s="58">
        <v>7878.143999999999</v>
      </c>
      <c r="M232" s="43">
        <v>0.06</v>
      </c>
      <c r="N232" s="58">
        <v>1477.1519999999998</v>
      </c>
      <c r="O232" s="83">
        <v>0.05</v>
      </c>
      <c r="P232" s="58">
        <v>1230.96</v>
      </c>
      <c r="Q232" s="12">
        <v>0.93</v>
      </c>
      <c r="R232" s="58">
        <v>22895.856</v>
      </c>
      <c r="S232" s="82">
        <v>0.09</v>
      </c>
      <c r="T232" s="58">
        <v>2215.7279999999996</v>
      </c>
      <c r="U232" s="82">
        <v>2.79</v>
      </c>
      <c r="V232" s="58">
        <v>68687.56799999998</v>
      </c>
      <c r="W232" s="85">
        <v>0.48742444921037237</v>
      </c>
      <c r="X232" s="58">
        <v>12000</v>
      </c>
      <c r="Y232" s="38"/>
      <c r="Z232" s="58">
        <v>0</v>
      </c>
      <c r="AA232" s="58"/>
      <c r="AB232" s="58"/>
      <c r="AC232" s="169">
        <v>6.26</v>
      </c>
      <c r="AD232" s="58">
        <v>154116.19199999998</v>
      </c>
      <c r="AE232" s="84">
        <v>0</v>
      </c>
      <c r="AF232" s="12">
        <v>0</v>
      </c>
      <c r="AG232" s="84"/>
      <c r="AH232" s="64">
        <v>0</v>
      </c>
      <c r="AI232" s="82"/>
      <c r="AJ232" s="64">
        <v>0</v>
      </c>
      <c r="AK232" s="85">
        <v>0.902</v>
      </c>
      <c r="AL232" s="66">
        <v>22206.5184</v>
      </c>
      <c r="AM232" s="82">
        <v>2.662</v>
      </c>
      <c r="AN232" s="66">
        <v>65536.3104</v>
      </c>
      <c r="AO232" s="17">
        <v>1.19</v>
      </c>
      <c r="AP232" s="74">
        <v>1.03</v>
      </c>
      <c r="AQ232" s="74">
        <v>0.16</v>
      </c>
      <c r="AR232" s="74">
        <v>29296.847999999998</v>
      </c>
    </row>
    <row r="233" spans="1:44" ht="12.75">
      <c r="A233" s="6">
        <v>217</v>
      </c>
      <c r="B233" s="80">
        <v>39</v>
      </c>
      <c r="C233" s="81" t="s">
        <v>158</v>
      </c>
      <c r="D233" s="43">
        <v>2622.4</v>
      </c>
      <c r="E233" s="85">
        <v>0.004669920683344486</v>
      </c>
      <c r="F233" s="82">
        <v>17.595330079316657</v>
      </c>
      <c r="G233" s="82">
        <v>17.6</v>
      </c>
      <c r="H233" s="82">
        <v>553703.9232</v>
      </c>
      <c r="I233" s="112">
        <v>1.86</v>
      </c>
      <c r="J233" s="58">
        <v>58531.96800000001</v>
      </c>
      <c r="K233" s="82">
        <v>0.32</v>
      </c>
      <c r="L233" s="58">
        <v>10070.016</v>
      </c>
      <c r="M233" s="43">
        <v>0.06</v>
      </c>
      <c r="N233" s="58">
        <v>1888.128</v>
      </c>
      <c r="O233" s="83"/>
      <c r="P233" s="58">
        <v>0</v>
      </c>
      <c r="Q233" s="12">
        <v>0.93</v>
      </c>
      <c r="R233" s="58">
        <v>29265.984000000004</v>
      </c>
      <c r="S233" s="82">
        <v>0.09</v>
      </c>
      <c r="T233" s="58">
        <v>2832.192</v>
      </c>
      <c r="U233" s="82">
        <v>2.54</v>
      </c>
      <c r="V233" s="58">
        <v>79930.75200000002</v>
      </c>
      <c r="W233" s="85">
        <v>0.38133007931665647</v>
      </c>
      <c r="X233" s="58">
        <v>12000</v>
      </c>
      <c r="Y233" s="38"/>
      <c r="Z233" s="58">
        <v>0</v>
      </c>
      <c r="AA233" s="58"/>
      <c r="AB233" s="58"/>
      <c r="AC233" s="169">
        <v>6.66</v>
      </c>
      <c r="AD233" s="58">
        <v>209582.208</v>
      </c>
      <c r="AE233" s="84">
        <v>0</v>
      </c>
      <c r="AF233" s="12">
        <v>0</v>
      </c>
      <c r="AG233" s="84"/>
      <c r="AH233" s="64">
        <v>0</v>
      </c>
      <c r="AI233" s="82"/>
      <c r="AJ233" s="64">
        <v>0</v>
      </c>
      <c r="AK233" s="85">
        <v>0.902</v>
      </c>
      <c r="AL233" s="66">
        <v>28384.857600000003</v>
      </c>
      <c r="AM233" s="82">
        <v>2.662</v>
      </c>
      <c r="AN233" s="66">
        <v>83769.9456</v>
      </c>
      <c r="AO233" s="17">
        <v>1.19</v>
      </c>
      <c r="AP233" s="74">
        <v>1.03</v>
      </c>
      <c r="AQ233" s="74">
        <v>0.16</v>
      </c>
      <c r="AR233" s="74">
        <v>37447.872</v>
      </c>
    </row>
    <row r="234" spans="1:44" ht="12.75">
      <c r="A234" s="6">
        <v>218</v>
      </c>
      <c r="B234" s="80">
        <v>40</v>
      </c>
      <c r="C234" s="81" t="s">
        <v>159</v>
      </c>
      <c r="D234" s="43">
        <v>2226.8</v>
      </c>
      <c r="E234" s="85">
        <v>0.0022026225974478564</v>
      </c>
      <c r="F234" s="82">
        <v>17.597797377402554</v>
      </c>
      <c r="G234" s="82">
        <v>17.6</v>
      </c>
      <c r="H234" s="82">
        <v>470241.3024</v>
      </c>
      <c r="I234" s="112">
        <v>1.86</v>
      </c>
      <c r="J234" s="58">
        <v>49702.17600000001</v>
      </c>
      <c r="K234" s="82">
        <v>0.32</v>
      </c>
      <c r="L234" s="58">
        <v>8550.912</v>
      </c>
      <c r="M234" s="43">
        <v>0.06</v>
      </c>
      <c r="N234" s="58">
        <v>1603.296</v>
      </c>
      <c r="O234" s="83"/>
      <c r="P234" s="58">
        <v>0</v>
      </c>
      <c r="Q234" s="12">
        <v>0.93</v>
      </c>
      <c r="R234" s="58">
        <v>24851.088000000003</v>
      </c>
      <c r="S234" s="82">
        <v>0.09</v>
      </c>
      <c r="T234" s="58">
        <v>2404.944</v>
      </c>
      <c r="U234" s="82">
        <v>2.84</v>
      </c>
      <c r="V234" s="58">
        <v>75889.344</v>
      </c>
      <c r="W234" s="85">
        <v>0.5837973774025507</v>
      </c>
      <c r="X234" s="58">
        <v>15600</v>
      </c>
      <c r="Y234" s="38"/>
      <c r="Z234" s="58">
        <v>0</v>
      </c>
      <c r="AA234" s="58"/>
      <c r="AB234" s="58"/>
      <c r="AC234" s="169">
        <v>6.16</v>
      </c>
      <c r="AD234" s="58">
        <v>164605.056</v>
      </c>
      <c r="AE234" s="84">
        <v>0</v>
      </c>
      <c r="AF234" s="12">
        <v>0</v>
      </c>
      <c r="AG234" s="84"/>
      <c r="AH234" s="64">
        <v>0</v>
      </c>
      <c r="AI234" s="82"/>
      <c r="AJ234" s="64">
        <v>0</v>
      </c>
      <c r="AK234" s="85">
        <v>0.902</v>
      </c>
      <c r="AL234" s="66">
        <v>24102.883200000004</v>
      </c>
      <c r="AM234" s="82">
        <v>2.662</v>
      </c>
      <c r="AN234" s="66">
        <v>71132.8992</v>
      </c>
      <c r="AO234" s="17">
        <v>1.19</v>
      </c>
      <c r="AP234" s="74">
        <v>1.03</v>
      </c>
      <c r="AQ234" s="74">
        <v>0.16</v>
      </c>
      <c r="AR234" s="74">
        <v>31798.704000000005</v>
      </c>
    </row>
    <row r="235" spans="1:44" ht="12.75">
      <c r="A235" s="6">
        <v>219</v>
      </c>
      <c r="B235" s="80">
        <v>41</v>
      </c>
      <c r="C235" s="81" t="s">
        <v>160</v>
      </c>
      <c r="D235" s="43">
        <v>2007.8</v>
      </c>
      <c r="E235" s="85">
        <v>-0.0014748480924353657</v>
      </c>
      <c r="F235" s="82">
        <v>17.601474848092437</v>
      </c>
      <c r="G235" s="82">
        <v>17.6</v>
      </c>
      <c r="H235" s="82">
        <v>424082.89439999993</v>
      </c>
      <c r="I235" s="112">
        <v>1.86</v>
      </c>
      <c r="J235" s="58">
        <v>44814.096000000005</v>
      </c>
      <c r="K235" s="82">
        <v>0.32</v>
      </c>
      <c r="L235" s="58">
        <v>7709.951999999999</v>
      </c>
      <c r="M235" s="43">
        <v>0.06</v>
      </c>
      <c r="N235" s="58">
        <v>1445.616</v>
      </c>
      <c r="O235" s="83"/>
      <c r="P235" s="58">
        <v>0</v>
      </c>
      <c r="Q235" s="12">
        <v>0.93</v>
      </c>
      <c r="R235" s="58">
        <v>22407.048000000003</v>
      </c>
      <c r="S235" s="82">
        <v>0.09</v>
      </c>
      <c r="T235" s="58">
        <v>2168.424</v>
      </c>
      <c r="U235" s="82">
        <v>2.84</v>
      </c>
      <c r="V235" s="58">
        <v>68425.824</v>
      </c>
      <c r="W235" s="85">
        <v>0.6474748480924395</v>
      </c>
      <c r="X235" s="58">
        <v>15600</v>
      </c>
      <c r="Y235" s="38"/>
      <c r="Z235" s="58">
        <v>0</v>
      </c>
      <c r="AA235" s="58"/>
      <c r="AB235" s="58"/>
      <c r="AC235" s="169">
        <v>6.1</v>
      </c>
      <c r="AD235" s="58">
        <v>146970.96</v>
      </c>
      <c r="AE235" s="84">
        <v>0</v>
      </c>
      <c r="AF235" s="12">
        <v>0</v>
      </c>
      <c r="AG235" s="84"/>
      <c r="AH235" s="64">
        <v>0</v>
      </c>
      <c r="AI235" s="82"/>
      <c r="AJ235" s="64">
        <v>0</v>
      </c>
      <c r="AK235" s="85">
        <v>0.902</v>
      </c>
      <c r="AL235" s="66">
        <v>21732.4272</v>
      </c>
      <c r="AM235" s="82">
        <v>2.662</v>
      </c>
      <c r="AN235" s="66">
        <v>64137.163199999995</v>
      </c>
      <c r="AO235" s="17">
        <v>1.19</v>
      </c>
      <c r="AP235" s="74">
        <v>1.03</v>
      </c>
      <c r="AQ235" s="74">
        <v>0.16</v>
      </c>
      <c r="AR235" s="74">
        <v>28671.384</v>
      </c>
    </row>
    <row r="236" spans="1:44" ht="12.75">
      <c r="A236" s="6">
        <v>220</v>
      </c>
      <c r="B236" s="80">
        <v>42</v>
      </c>
      <c r="C236" s="81" t="s">
        <v>161</v>
      </c>
      <c r="D236" s="43">
        <v>3183.3</v>
      </c>
      <c r="E236" s="85">
        <v>0.0018605849275914466</v>
      </c>
      <c r="F236" s="82">
        <v>17.59813941507241</v>
      </c>
      <c r="G236" s="82">
        <v>17.6</v>
      </c>
      <c r="H236" s="82">
        <v>672241.8864</v>
      </c>
      <c r="I236" s="112">
        <v>1.86</v>
      </c>
      <c r="J236" s="58">
        <v>71051.25600000001</v>
      </c>
      <c r="K236" s="82">
        <v>0.32</v>
      </c>
      <c r="L236" s="58">
        <v>12223.872000000001</v>
      </c>
      <c r="M236" s="43">
        <v>0.06</v>
      </c>
      <c r="N236" s="58">
        <v>2291.9759999999997</v>
      </c>
      <c r="O236" s="83"/>
      <c r="P236" s="58">
        <v>0</v>
      </c>
      <c r="Q236" s="12">
        <v>0.93</v>
      </c>
      <c r="R236" s="58">
        <v>35525.628000000004</v>
      </c>
      <c r="S236" s="82">
        <v>0.09</v>
      </c>
      <c r="T236" s="58">
        <v>3437.964</v>
      </c>
      <c r="U236" s="82">
        <v>3.01</v>
      </c>
      <c r="V236" s="58">
        <v>114980.796</v>
      </c>
      <c r="W236" s="85">
        <v>0.3141394150724091</v>
      </c>
      <c r="X236" s="58">
        <v>12000</v>
      </c>
      <c r="Y236" s="38"/>
      <c r="Z236" s="58">
        <v>0</v>
      </c>
      <c r="AA236" s="58"/>
      <c r="AB236" s="58"/>
      <c r="AC236" s="169">
        <v>6.26</v>
      </c>
      <c r="AD236" s="58">
        <v>239129.49599999998</v>
      </c>
      <c r="AE236" s="84">
        <v>0</v>
      </c>
      <c r="AF236" s="12">
        <v>0</v>
      </c>
      <c r="AG236" s="84"/>
      <c r="AH236" s="64">
        <v>0</v>
      </c>
      <c r="AI236" s="82"/>
      <c r="AJ236" s="64">
        <v>0</v>
      </c>
      <c r="AK236" s="85">
        <v>0.902</v>
      </c>
      <c r="AL236" s="66">
        <v>34456.0392</v>
      </c>
      <c r="AM236" s="82">
        <v>2.662</v>
      </c>
      <c r="AN236" s="66">
        <v>101687.3352</v>
      </c>
      <c r="AO236" s="17">
        <v>1.19</v>
      </c>
      <c r="AP236" s="74">
        <v>1.03</v>
      </c>
      <c r="AQ236" s="74">
        <v>0.16</v>
      </c>
      <c r="AR236" s="74">
        <v>45457.524</v>
      </c>
    </row>
    <row r="237" spans="1:44" ht="12.75">
      <c r="A237" s="6">
        <v>221</v>
      </c>
      <c r="B237" s="80">
        <v>43</v>
      </c>
      <c r="C237" s="81" t="s">
        <v>162</v>
      </c>
      <c r="D237" s="12">
        <v>2064.7</v>
      </c>
      <c r="E237" s="85">
        <v>-0.003631423451349036</v>
      </c>
      <c r="F237" s="82">
        <v>17.60363142345135</v>
      </c>
      <c r="G237" s="82">
        <v>17.6</v>
      </c>
      <c r="H237" s="82">
        <v>436154.6136</v>
      </c>
      <c r="I237" s="112">
        <v>1.86</v>
      </c>
      <c r="J237" s="58">
        <v>46084.10399999999</v>
      </c>
      <c r="K237" s="82">
        <v>0.32</v>
      </c>
      <c r="L237" s="58">
        <v>7928.447999999999</v>
      </c>
      <c r="M237" s="12">
        <v>0.06</v>
      </c>
      <c r="N237" s="58">
        <v>1486.5839999999998</v>
      </c>
      <c r="O237" s="82"/>
      <c r="P237" s="58">
        <v>0</v>
      </c>
      <c r="Q237" s="12">
        <v>0.93</v>
      </c>
      <c r="R237" s="58">
        <v>23042.051999999996</v>
      </c>
      <c r="S237" s="82">
        <v>0.09</v>
      </c>
      <c r="T237" s="58">
        <v>2229.8759999999997</v>
      </c>
      <c r="U237" s="82">
        <v>2.84</v>
      </c>
      <c r="V237" s="58">
        <v>70364.976</v>
      </c>
      <c r="W237" s="85">
        <v>0.6296314234513489</v>
      </c>
      <c r="X237" s="58">
        <v>15600</v>
      </c>
      <c r="Y237" s="38"/>
      <c r="Z237" s="58">
        <v>0</v>
      </c>
      <c r="AA237" s="58"/>
      <c r="AB237" s="58"/>
      <c r="AC237" s="169">
        <v>6.12</v>
      </c>
      <c r="AD237" s="58">
        <v>151631.56800000003</v>
      </c>
      <c r="AE237" s="58">
        <v>0</v>
      </c>
      <c r="AF237" s="12">
        <v>0</v>
      </c>
      <c r="AG237" s="58"/>
      <c r="AH237" s="64">
        <v>0</v>
      </c>
      <c r="AI237" s="82"/>
      <c r="AJ237" s="64">
        <v>0</v>
      </c>
      <c r="AK237" s="85">
        <v>0.902</v>
      </c>
      <c r="AL237" s="66">
        <v>22348.3128</v>
      </c>
      <c r="AM237" s="82">
        <v>2.662</v>
      </c>
      <c r="AN237" s="66">
        <v>65954.77679999999</v>
      </c>
      <c r="AO237" s="17">
        <v>1.19</v>
      </c>
      <c r="AP237" s="74">
        <v>1.03</v>
      </c>
      <c r="AQ237" s="74">
        <v>0.16</v>
      </c>
      <c r="AR237" s="74">
        <v>29483.915999999994</v>
      </c>
    </row>
    <row r="238" spans="1:44" ht="12.75">
      <c r="A238" s="6">
        <v>222</v>
      </c>
      <c r="B238" s="80">
        <v>44</v>
      </c>
      <c r="C238" s="81" t="s">
        <v>163</v>
      </c>
      <c r="D238" s="43">
        <v>4980</v>
      </c>
      <c r="E238" s="85">
        <v>-0.00480321285140306</v>
      </c>
      <c r="F238" s="82">
        <v>17.604803212851404</v>
      </c>
      <c r="G238" s="82">
        <v>17.6</v>
      </c>
      <c r="H238" s="82">
        <v>1052063.04</v>
      </c>
      <c r="I238" s="112">
        <v>1.86</v>
      </c>
      <c r="J238" s="58">
        <v>111153.6</v>
      </c>
      <c r="K238" s="82">
        <v>0.32</v>
      </c>
      <c r="L238" s="58">
        <v>19123.2</v>
      </c>
      <c r="M238" s="43">
        <v>0.06</v>
      </c>
      <c r="N238" s="58">
        <v>3585.6</v>
      </c>
      <c r="O238" s="83">
        <v>0.05</v>
      </c>
      <c r="P238" s="58">
        <v>2988</v>
      </c>
      <c r="Q238" s="12">
        <v>0.93</v>
      </c>
      <c r="R238" s="58">
        <v>55576.8</v>
      </c>
      <c r="S238" s="82">
        <v>0.09</v>
      </c>
      <c r="T238" s="58">
        <v>5378.4</v>
      </c>
      <c r="U238" s="82">
        <v>3.27</v>
      </c>
      <c r="V238" s="58">
        <v>195415.2</v>
      </c>
      <c r="W238" s="85">
        <v>0.20080321285140565</v>
      </c>
      <c r="X238" s="58">
        <v>12000</v>
      </c>
      <c r="Y238" s="38"/>
      <c r="Z238" s="58">
        <v>0</v>
      </c>
      <c r="AA238" s="58"/>
      <c r="AB238" s="58"/>
      <c r="AC238" s="169">
        <v>6.07</v>
      </c>
      <c r="AD238" s="58">
        <v>362743.2</v>
      </c>
      <c r="AE238" s="84">
        <v>0</v>
      </c>
      <c r="AF238" s="12">
        <v>0</v>
      </c>
      <c r="AG238" s="84"/>
      <c r="AH238" s="64">
        <v>0</v>
      </c>
      <c r="AI238" s="82"/>
      <c r="AJ238" s="64">
        <v>0</v>
      </c>
      <c r="AK238" s="85">
        <v>0.902</v>
      </c>
      <c r="AL238" s="66">
        <v>53903.52</v>
      </c>
      <c r="AM238" s="82">
        <v>2.662</v>
      </c>
      <c r="AN238" s="66">
        <v>159081.12</v>
      </c>
      <c r="AO238" s="17">
        <v>1.19</v>
      </c>
      <c r="AP238" s="74">
        <v>1.03</v>
      </c>
      <c r="AQ238" s="74">
        <v>0.16</v>
      </c>
      <c r="AR238" s="74">
        <v>71114.4</v>
      </c>
    </row>
    <row r="239" spans="1:44" ht="12.75">
      <c r="A239" s="6">
        <v>223</v>
      </c>
      <c r="B239" s="80">
        <v>45</v>
      </c>
      <c r="C239" s="81" t="s">
        <v>164</v>
      </c>
      <c r="D239" s="43">
        <v>6314.7</v>
      </c>
      <c r="E239" s="85">
        <v>-0.003622943291052394</v>
      </c>
      <c r="F239" s="82">
        <v>17.603622943291054</v>
      </c>
      <c r="G239" s="82">
        <v>17.6</v>
      </c>
      <c r="H239" s="82">
        <v>1333939.1735999999</v>
      </c>
      <c r="I239" s="112">
        <v>1.86</v>
      </c>
      <c r="J239" s="58">
        <v>140944.104</v>
      </c>
      <c r="K239" s="82">
        <v>0.32</v>
      </c>
      <c r="L239" s="58">
        <v>24248.448</v>
      </c>
      <c r="M239" s="43">
        <v>0.06</v>
      </c>
      <c r="N239" s="58">
        <v>4546.583999999999</v>
      </c>
      <c r="O239" s="83">
        <v>0.05</v>
      </c>
      <c r="P239" s="58">
        <v>3788.82</v>
      </c>
      <c r="Q239" s="12">
        <v>0.93</v>
      </c>
      <c r="R239" s="58">
        <v>70472.052</v>
      </c>
      <c r="S239" s="82">
        <v>0.09</v>
      </c>
      <c r="T239" s="58">
        <v>6819.876</v>
      </c>
      <c r="U239" s="82">
        <v>3.21</v>
      </c>
      <c r="V239" s="58">
        <v>243242.24399999998</v>
      </c>
      <c r="W239" s="85">
        <v>0.22962294329105104</v>
      </c>
      <c r="X239" s="58">
        <v>17400</v>
      </c>
      <c r="Y239" s="38"/>
      <c r="Z239" s="58">
        <v>0</v>
      </c>
      <c r="AA239" s="58"/>
      <c r="AB239" s="58"/>
      <c r="AC239" s="169">
        <v>6.1</v>
      </c>
      <c r="AD239" s="58">
        <v>462236.04</v>
      </c>
      <c r="AE239" s="84">
        <v>0</v>
      </c>
      <c r="AF239" s="12">
        <v>0</v>
      </c>
      <c r="AG239" s="84"/>
      <c r="AH239" s="64">
        <v>0</v>
      </c>
      <c r="AI239" s="82"/>
      <c r="AJ239" s="64">
        <v>0</v>
      </c>
      <c r="AK239" s="85">
        <v>0.902</v>
      </c>
      <c r="AL239" s="66">
        <v>68350.3128</v>
      </c>
      <c r="AM239" s="82">
        <v>2.662</v>
      </c>
      <c r="AN239" s="66">
        <v>201716.7768</v>
      </c>
      <c r="AO239" s="17">
        <v>1.19</v>
      </c>
      <c r="AP239" s="74">
        <v>1.03</v>
      </c>
      <c r="AQ239" s="74">
        <v>0.16</v>
      </c>
      <c r="AR239" s="74">
        <v>90173.916</v>
      </c>
    </row>
    <row r="240" spans="1:44" ht="12.75">
      <c r="A240" s="36">
        <v>224</v>
      </c>
      <c r="B240" s="80">
        <v>46</v>
      </c>
      <c r="C240" s="88" t="s">
        <v>165</v>
      </c>
      <c r="D240" s="89">
        <v>4805.1</v>
      </c>
      <c r="E240" s="85">
        <v>-0.0021122141058462773</v>
      </c>
      <c r="F240" s="82">
        <v>17.602112214105848</v>
      </c>
      <c r="G240" s="82">
        <v>17.6</v>
      </c>
      <c r="H240" s="82">
        <v>1014958.9127999999</v>
      </c>
      <c r="I240" s="112">
        <v>1.86</v>
      </c>
      <c r="J240" s="58">
        <v>107249.83200000001</v>
      </c>
      <c r="K240" s="90">
        <v>0.32</v>
      </c>
      <c r="L240" s="58">
        <v>18451.584000000003</v>
      </c>
      <c r="M240" s="89">
        <v>0.06</v>
      </c>
      <c r="N240" s="58">
        <v>3459.6719999999996</v>
      </c>
      <c r="O240" s="91"/>
      <c r="P240" s="58">
        <v>0</v>
      </c>
      <c r="Q240" s="42">
        <v>0.93</v>
      </c>
      <c r="R240" s="58">
        <v>53624.916000000005</v>
      </c>
      <c r="S240" s="90">
        <v>0.09</v>
      </c>
      <c r="T240" s="58">
        <v>5189.508</v>
      </c>
      <c r="U240" s="90">
        <v>2.81</v>
      </c>
      <c r="V240" s="58">
        <v>162027.97199999998</v>
      </c>
      <c r="W240" s="85">
        <v>0.20811221410584588</v>
      </c>
      <c r="X240" s="58">
        <v>12000</v>
      </c>
      <c r="Y240" s="38"/>
      <c r="Z240" s="58">
        <v>0</v>
      </c>
      <c r="AA240" s="59"/>
      <c r="AB240" s="59"/>
      <c r="AC240" s="179">
        <v>6.57</v>
      </c>
      <c r="AD240" s="58">
        <v>378834.08400000003</v>
      </c>
      <c r="AE240" s="92">
        <v>0</v>
      </c>
      <c r="AF240" s="12">
        <v>0</v>
      </c>
      <c r="AG240" s="92"/>
      <c r="AH240" s="64">
        <v>0</v>
      </c>
      <c r="AI240" s="82"/>
      <c r="AJ240" s="64">
        <v>0</v>
      </c>
      <c r="AK240" s="93">
        <v>0.902</v>
      </c>
      <c r="AL240" s="66">
        <v>52010.402400000006</v>
      </c>
      <c r="AM240" s="90">
        <v>2.662</v>
      </c>
      <c r="AN240" s="66">
        <v>153494.1144</v>
      </c>
      <c r="AO240" s="17">
        <v>1.19</v>
      </c>
      <c r="AP240" s="74">
        <v>1.03</v>
      </c>
      <c r="AQ240" s="74">
        <v>0.16</v>
      </c>
      <c r="AR240" s="74">
        <v>68616.82800000001</v>
      </c>
    </row>
    <row r="241" spans="1:44" ht="12.75">
      <c r="A241" s="6">
        <v>225</v>
      </c>
      <c r="B241" s="80">
        <v>47</v>
      </c>
      <c r="C241" s="81" t="s">
        <v>166</v>
      </c>
      <c r="D241" s="43">
        <v>2771.1</v>
      </c>
      <c r="E241" s="85">
        <v>-0.004867525531381034</v>
      </c>
      <c r="F241" s="82">
        <v>17.604867525531382</v>
      </c>
      <c r="G241" s="82">
        <v>17.6</v>
      </c>
      <c r="H241" s="82">
        <v>585418.1808</v>
      </c>
      <c r="I241" s="112">
        <v>1.86</v>
      </c>
      <c r="J241" s="58">
        <v>61850.952000000005</v>
      </c>
      <c r="K241" s="82">
        <v>0.32</v>
      </c>
      <c r="L241" s="58">
        <v>10641.024</v>
      </c>
      <c r="M241" s="43">
        <v>0.06</v>
      </c>
      <c r="N241" s="58">
        <v>1995.192</v>
      </c>
      <c r="O241" s="83"/>
      <c r="P241" s="58">
        <v>0</v>
      </c>
      <c r="Q241" s="12">
        <v>0.93</v>
      </c>
      <c r="R241" s="58">
        <v>30925.476000000002</v>
      </c>
      <c r="S241" s="82">
        <v>0.09</v>
      </c>
      <c r="T241" s="58">
        <v>2992.7879999999996</v>
      </c>
      <c r="U241" s="82">
        <v>3.43</v>
      </c>
      <c r="V241" s="58">
        <v>114058.47600000002</v>
      </c>
      <c r="W241" s="85">
        <v>0.3608675255313774</v>
      </c>
      <c r="X241" s="58">
        <v>12000</v>
      </c>
      <c r="Y241" s="38"/>
      <c r="Z241" s="58">
        <v>0</v>
      </c>
      <c r="AA241" s="58"/>
      <c r="AB241" s="58"/>
      <c r="AC241" s="169">
        <v>5.8</v>
      </c>
      <c r="AD241" s="58">
        <v>192868.56</v>
      </c>
      <c r="AE241" s="84">
        <v>0</v>
      </c>
      <c r="AF241" s="12">
        <v>0</v>
      </c>
      <c r="AG241" s="84"/>
      <c r="AH241" s="64">
        <v>0</v>
      </c>
      <c r="AI241" s="82"/>
      <c r="AJ241" s="64">
        <v>0</v>
      </c>
      <c r="AK241" s="85">
        <v>0.902</v>
      </c>
      <c r="AL241" s="66">
        <v>29994.386400000003</v>
      </c>
      <c r="AM241" s="82">
        <v>2.662</v>
      </c>
      <c r="AN241" s="66">
        <v>88520.01839999999</v>
      </c>
      <c r="AO241" s="17">
        <v>1.19</v>
      </c>
      <c r="AP241" s="74">
        <v>1.03</v>
      </c>
      <c r="AQ241" s="74">
        <v>0.16</v>
      </c>
      <c r="AR241" s="74">
        <v>39571.308</v>
      </c>
    </row>
    <row r="242" spans="1:46" ht="12.75">
      <c r="A242" s="6">
        <v>226</v>
      </c>
      <c r="B242" s="80">
        <v>48</v>
      </c>
      <c r="C242" s="81" t="s">
        <v>303</v>
      </c>
      <c r="D242" s="12">
        <v>1672.7</v>
      </c>
      <c r="E242" s="85">
        <v>-0.004511149638307899</v>
      </c>
      <c r="F242" s="82">
        <v>25.11451114963831</v>
      </c>
      <c r="G242" s="82">
        <v>25.11</v>
      </c>
      <c r="H242" s="82">
        <v>471173.0506</v>
      </c>
      <c r="I242" s="112">
        <v>1.86</v>
      </c>
      <c r="J242" s="58">
        <v>37334.664000000004</v>
      </c>
      <c r="K242" s="82">
        <v>0.32</v>
      </c>
      <c r="L242" s="58">
        <v>6423.168</v>
      </c>
      <c r="M242" s="83">
        <v>0</v>
      </c>
      <c r="N242" s="58">
        <v>0</v>
      </c>
      <c r="O242" s="83">
        <v>0.1</v>
      </c>
      <c r="P242" s="58">
        <v>2007.24</v>
      </c>
      <c r="Q242" s="12">
        <v>0.93</v>
      </c>
      <c r="R242" s="58">
        <v>18667.332000000002</v>
      </c>
      <c r="S242" s="82">
        <v>0</v>
      </c>
      <c r="T242" s="58">
        <v>0</v>
      </c>
      <c r="U242" s="82">
        <v>5.84</v>
      </c>
      <c r="V242" s="58">
        <v>117222.81599999999</v>
      </c>
      <c r="W242" s="85">
        <v>0.7174030011358882</v>
      </c>
      <c r="X242" s="58">
        <v>14400</v>
      </c>
      <c r="Y242" s="38">
        <v>0.41</v>
      </c>
      <c r="Z242" s="58">
        <v>8229.684000000001</v>
      </c>
      <c r="AA242" s="82">
        <v>0.86</v>
      </c>
      <c r="AB242" s="58">
        <v>17262.264</v>
      </c>
      <c r="AC242" s="169">
        <v>0</v>
      </c>
      <c r="AD242" s="58">
        <v>0</v>
      </c>
      <c r="AE242" s="83">
        <v>7.5331081485024205</v>
      </c>
      <c r="AF242" s="12">
        <v>151207.56</v>
      </c>
      <c r="AG242" s="84"/>
      <c r="AH242" s="64">
        <v>0</v>
      </c>
      <c r="AI242" s="83">
        <v>1.79</v>
      </c>
      <c r="AJ242" s="64">
        <v>2994.1330000000003</v>
      </c>
      <c r="AK242" s="85">
        <v>0.902</v>
      </c>
      <c r="AL242" s="66">
        <v>18105.304799999998</v>
      </c>
      <c r="AM242" s="82">
        <v>2.662</v>
      </c>
      <c r="AN242" s="66">
        <v>53432.7288</v>
      </c>
      <c r="AO242" s="17">
        <v>1.19</v>
      </c>
      <c r="AP242" s="74">
        <v>1.03</v>
      </c>
      <c r="AQ242" s="74">
        <v>0.16</v>
      </c>
      <c r="AR242" s="74">
        <v>23886.156</v>
      </c>
      <c r="AS242" s="15"/>
      <c r="AT242" s="15"/>
    </row>
    <row r="243" spans="1:46" ht="12.75">
      <c r="A243" s="9"/>
      <c r="B243" s="94"/>
      <c r="C243" s="95"/>
      <c r="D243" s="96"/>
      <c r="E243" s="96"/>
      <c r="F243" s="97"/>
      <c r="G243" s="97"/>
      <c r="H243" s="60"/>
      <c r="I243" s="98"/>
      <c r="J243" s="60"/>
      <c r="K243" s="97"/>
      <c r="L243" s="60"/>
      <c r="M243" s="96"/>
      <c r="N243" s="60"/>
      <c r="O243" s="98"/>
      <c r="P243" s="60"/>
      <c r="Q243" s="63"/>
      <c r="R243" s="60"/>
      <c r="S243" s="97"/>
      <c r="T243" s="60"/>
      <c r="U243" s="97"/>
      <c r="V243" s="60"/>
      <c r="W243" s="111"/>
      <c r="X243" s="60"/>
      <c r="Y243" s="97"/>
      <c r="Z243" s="60"/>
      <c r="AA243" s="60"/>
      <c r="AB243" s="60"/>
      <c r="AC243" s="97"/>
      <c r="AD243" s="60"/>
      <c r="AE243" s="99"/>
      <c r="AF243" s="63"/>
      <c r="AG243" s="99"/>
      <c r="AH243" s="63"/>
      <c r="AI243" s="98"/>
      <c r="AJ243" s="60"/>
      <c r="AK243" s="100"/>
      <c r="AL243" s="60"/>
      <c r="AM243" s="97"/>
      <c r="AN243" s="60"/>
      <c r="AO243" s="18"/>
      <c r="AP243" s="103"/>
      <c r="AQ243" s="103"/>
      <c r="AR243" s="15"/>
      <c r="AS243" s="15"/>
      <c r="AT243" s="15"/>
    </row>
    <row r="244" spans="1:46" ht="12.75">
      <c r="A244" s="9"/>
      <c r="B244" s="94"/>
      <c r="C244" s="95"/>
      <c r="D244" s="96"/>
      <c r="E244" s="96"/>
      <c r="F244" s="97"/>
      <c r="G244" s="97"/>
      <c r="H244" s="60"/>
      <c r="I244" s="98"/>
      <c r="J244" s="60"/>
      <c r="K244" s="97"/>
      <c r="L244" s="60"/>
      <c r="M244" s="96"/>
      <c r="N244" s="60"/>
      <c r="O244" s="98"/>
      <c r="P244" s="60"/>
      <c r="Q244" s="63"/>
      <c r="R244" s="60"/>
      <c r="S244" s="97"/>
      <c r="T244" s="60"/>
      <c r="U244" s="97"/>
      <c r="V244" s="60"/>
      <c r="W244" s="111"/>
      <c r="X244" s="60"/>
      <c r="Y244" s="97"/>
      <c r="Z244" s="60"/>
      <c r="AA244" s="60"/>
      <c r="AB244" s="60"/>
      <c r="AC244" s="97"/>
      <c r="AD244" s="60"/>
      <c r="AE244" s="99"/>
      <c r="AF244" s="63"/>
      <c r="AG244" s="99"/>
      <c r="AH244" s="63"/>
      <c r="AI244" s="98"/>
      <c r="AJ244" s="60"/>
      <c r="AK244" s="100"/>
      <c r="AL244" s="60"/>
      <c r="AM244" s="97"/>
      <c r="AN244" s="60"/>
      <c r="AO244" s="18"/>
      <c r="AP244" s="103"/>
      <c r="AQ244" s="103"/>
      <c r="AR244" s="15"/>
      <c r="AS244" s="15"/>
      <c r="AT244" s="15"/>
    </row>
    <row r="272" spans="4:5" ht="12.75">
      <c r="D272" s="102"/>
      <c r="E272" s="102"/>
    </row>
    <row r="273" spans="4:5" ht="12.75">
      <c r="D273" s="102"/>
      <c r="E273" s="102"/>
    </row>
  </sheetData>
  <sheetProtection/>
  <mergeCells count="34">
    <mergeCell ref="S3:T4"/>
    <mergeCell ref="U3:V4"/>
    <mergeCell ref="W3:X4"/>
    <mergeCell ref="X77:X79"/>
    <mergeCell ref="C1:AF1"/>
    <mergeCell ref="B3:B5"/>
    <mergeCell ref="C3:C5"/>
    <mergeCell ref="D3:D5"/>
    <mergeCell ref="F3:H4"/>
    <mergeCell ref="I3:J4"/>
    <mergeCell ref="K3:L4"/>
    <mergeCell ref="M3:N4"/>
    <mergeCell ref="O3:P4"/>
    <mergeCell ref="Q3:R4"/>
    <mergeCell ref="AP5:AQ5"/>
    <mergeCell ref="AA3:AB4"/>
    <mergeCell ref="AG3:AH4"/>
    <mergeCell ref="AI3:AJ4"/>
    <mergeCell ref="AK3:AN3"/>
    <mergeCell ref="AO3:AO4"/>
    <mergeCell ref="AK4:AL4"/>
    <mergeCell ref="AC3:AD4"/>
    <mergeCell ref="AE3:AF4"/>
    <mergeCell ref="AM4:AN4"/>
    <mergeCell ref="Y3:Z4"/>
    <mergeCell ref="W198:W199"/>
    <mergeCell ref="W203:W204"/>
    <mergeCell ref="W194:W195"/>
    <mergeCell ref="W153:W154"/>
    <mergeCell ref="W77:W79"/>
    <mergeCell ref="X198:X199"/>
    <mergeCell ref="X203:X204"/>
    <mergeCell ref="X153:X154"/>
    <mergeCell ref="X194:X19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2017-01-25T19:40:16Z</cp:lastPrinted>
  <dcterms:created xsi:type="dcterms:W3CDTF">1996-10-08T23:32:33Z</dcterms:created>
  <dcterms:modified xsi:type="dcterms:W3CDTF">2019-02-21T09:20:10Z</dcterms:modified>
  <cp:category/>
  <cp:version/>
  <cp:contentType/>
  <cp:contentStatus/>
</cp:coreProperties>
</file>